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390" tabRatio="918" firstSheet="1" activeTab="2"/>
  </bookViews>
  <sheets>
    <sheet name="目录" sheetId="17" state="hidden" r:id="rId1"/>
    <sheet name="总表（污水厂）" sheetId="69" r:id="rId2"/>
    <sheet name="综合估算表（污水厂）" sheetId="68" r:id="rId3"/>
  </sheets>
  <externalReferences>
    <externalReference r:id="rId4"/>
    <externalReference r:id="rId5"/>
    <externalReference r:id="rId6"/>
  </externalReferences>
  <definedNames>
    <definedName name="B82_A10">#REF!</definedName>
    <definedName name="CNGZHAN" hidden="1">{"'现金流量表（全部投资）'!$B$4:$P$23"}</definedName>
    <definedName name="HTML_CodePage" hidden="1">936</definedName>
    <definedName name="HTML_Control" localSheetId="2" hidden="1">{"'现金流量表（全部投资）'!$B$4:$P$23"}</definedName>
    <definedName name="HTML_Control" localSheetId="1" hidden="1">{"'现金流量表（全部投资）'!$B$4:$P$23"}</definedName>
    <definedName name="HTML_Control" hidden="1">{"'现金流量表（全部投资）'!$B$4:$P$23"}</definedName>
    <definedName name="HTML_Description" hidden="1">"lin zijian"</definedName>
    <definedName name="HTML_Email" hidden="1">""</definedName>
    <definedName name="HTML_Header" hidden="1">"现金流量表（全部投资）"</definedName>
    <definedName name="HTML_LastUpdate" hidden="1">"96-12-2"</definedName>
    <definedName name="HTML_LineAfter" hidden="1">TRUE</definedName>
    <definedName name="HTML_LineBefore" hidden="1">TRUE</definedName>
    <definedName name="HTML_Name" hidden="1">"linzijia"</definedName>
    <definedName name="HTML_OBDlg2" hidden="1">TRUE</definedName>
    <definedName name="HTML_OBDlg4" hidden="1">TRUE</definedName>
    <definedName name="HTML_OS" hidden="1">0</definedName>
    <definedName name="HTML_PathFile" hidden="1">"C:\lin\bk\MyHTML.htm"</definedName>
    <definedName name="HTML_Title" hidden="1">"PROJECT11"</definedName>
    <definedName name="_xlnm.Print_Area" localSheetId="2">'综合估算表（污水厂）'!$A$1:$K$62</definedName>
    <definedName name="_xlnm.Print_Area" localSheetId="1">'总表（污水厂）'!$A$1:$K$23</definedName>
    <definedName name="_xlnm.Print_Titles" localSheetId="0">目录!$1:$1</definedName>
    <definedName name="_xlnm.Print_Titles" localSheetId="2">'综合估算表（污水厂）'!$1:$6</definedName>
    <definedName name="_xlnm.Print_Titles" localSheetId="1">'总表（污水厂）'!$1:$6</definedName>
    <definedName name="比较" hidden="1">{"'现金流量表（全部投资）'!$B$4:$P$23"}</definedName>
    <definedName name="厂比" hidden="1">{"'现金流量表（全部投资）'!$B$4:$P$23"}</definedName>
    <definedName name="厂材">#REF!</definedName>
    <definedName name="成" localSheetId="1">[1]资金来源与运用表!#REF!</definedName>
    <definedName name="成">[1]资金来源与运用表!#REF!</definedName>
    <definedName name="横汇" localSheetId="1">#REF!</definedName>
    <definedName name="横汇">#REF!</definedName>
    <definedName name="汇率">[2]国民经济评价投资调整计算表!$L$3</definedName>
    <definedName name="热力站二期" hidden="1">{"'现金流量表（全部投资）'!$B$4:$P$23"}</definedName>
    <definedName name="热力站新" hidden="1">{"'现金流量表（全部投资）'!$B$4:$P$23"}</definedName>
    <definedName name="生产列2">'[2]现金流量表（自有资金）'!$AD$5:$AD$18</definedName>
    <definedName name="生产列20">#REF!</definedName>
    <definedName name="生产列6">#REF!</definedName>
    <definedName name="生产列8">'[2]国民经济效益费用流量表（国内投资）'!$AD$5:$AD$21</definedName>
    <definedName name="生产列9">#REF!</definedName>
    <definedName name="生产期">'[2]现金流量表（自有资金）'!$AD$5</definedName>
    <definedName name="生产期2">'[2]现金流量表（自有资金）'!$AD$5</definedName>
    <definedName name="生产期20">#REF!</definedName>
    <definedName name="生产期6">#REF!</definedName>
    <definedName name="生产期8">'[2]国民经济效益费用流量表（国内投资）'!$AD$5</definedName>
    <definedName name="生产期9">#REF!</definedName>
    <definedName name="水管暖" hidden="1">{"'现金流量表（全部投资）'!$B$4:$P$23"}</definedName>
    <definedName name="污泵1" hidden="1">{"'现金流量表（全部投资）'!$B$4:$P$23"}</definedName>
    <definedName name="污水" hidden="1">{"'现金流量表（全部投资）'!$B$4:$P$23"}</definedName>
    <definedName name="武威生态园" hidden="1">{"'现金流量表（全部投资）'!$B$4:$P$23"}</definedName>
    <definedName name="砖砌圆形阀门井" localSheetId="2">#REF!</definedName>
    <definedName name="砖砌圆形阀门井" localSheetId="1">#REF!</definedName>
    <definedName name="砖砌圆形阀门井">#REF!</definedName>
  </definedNames>
  <calcPr calcId="144525"/>
</workbook>
</file>

<file path=xl/comments1.xml><?xml version="1.0" encoding="utf-8"?>
<comments xmlns="http://schemas.openxmlformats.org/spreadsheetml/2006/main">
  <authors>
    <author>lbh</author>
    <author>lenovo</author>
    <author>万国奇</author>
  </authors>
  <commentList>
    <comment ref="B36" authorId="0">
      <text>
        <r>
          <rPr>
            <b/>
            <sz val="12"/>
            <rFont val="宋体"/>
            <charset val="134"/>
          </rPr>
          <t>lbh:工程第一部分费用总值×</t>
        </r>
        <r>
          <rPr>
            <sz val="12"/>
            <rFont val="宋体"/>
            <charset val="134"/>
          </rPr>
          <t xml:space="preserve">
    100～300： 2.0～2.4（％）
    300～500： 1.7～2.0
   500～1000： 1.5～1.7
  1000～5000： 1.2～1.5
 5000～10000： 1.1～1.2
10000～20000： 0.9～1.1
20000～50000： 0.8～0.9
   50000以上： 0.6～0.8</t>
        </r>
      </text>
    </comment>
    <comment ref="B37" authorId="1">
      <text>
        <r>
          <rPr>
            <b/>
            <sz val="9"/>
            <rFont val="宋体"/>
            <charset val="134"/>
          </rPr>
          <t xml:space="preserve">施工监理服务收费基价表                                                         单位：万元   
序号 计费额 收费基价    费率%
1     500     16.5      3.30
2     1000     30.1     3.01
3     3000     78.1     2.60
4     5000     120.8    2.42
5     8000     181      2.26
6     10000    218.6    2.19
7     20000    393.4    1.97
8     40000    708.2    1.77
9     60000    991.4    1.65
10    80000    1255.8   1.57
11    100000   1507     1.51
12    200000   2712.5   1.36
13    400000   4882.6   1.22
14    600000   6835.6   1.14
15    800000   8658.4   1.08
16    1000000  10390.1  1.04
注：计费额大于1000000万元的，以计费额乘以1.039%的收费率计算收费基价。其他未包含的其收费由双方协商议定。   
</t>
        </r>
      </text>
    </comment>
    <comment ref="B42" authorId="0">
      <text>
        <r>
          <rPr>
            <b/>
            <sz val="9"/>
            <rFont val="宋体"/>
            <charset val="134"/>
          </rPr>
          <t>lbh:国家发展计划委员会、建设部计价格[2002]10号文《工程勘察设计收费标准》</t>
        </r>
        <r>
          <rPr>
            <sz val="9"/>
            <rFont val="宋体"/>
            <charset val="134"/>
          </rPr>
          <t xml:space="preserve">
</t>
        </r>
        <r>
          <rPr>
            <b/>
            <sz val="9"/>
            <rFont val="宋体"/>
            <charset val="134"/>
          </rPr>
          <t>设计费</t>
        </r>
        <r>
          <rPr>
            <sz val="9"/>
            <rFont val="宋体"/>
            <charset val="134"/>
          </rPr>
          <t xml:space="preserve">＝设计收费基价×专业调整系数（1.0）×工程复杂程度调整系数（1.15）×附加调整系数（改扩建和技术改造项目1.1～1.4）
其中：设计收费基价＝（工程费用-给定小的计费额）×（给定大的收费基价－给定小的收费基价）÷（给定大的计费额-给定小的计费额）+给定小的收费基价
计费额区间（工程费用）：  200          500          1000          3000          5000         8000         10000         20000       
              收费基价：  9.00         20.90        38.80         103.80        163.90       249.60       304.80        566.80
                          40000        60000        80000         100000        200000       400000       600000        800000
                          1054.00      1515.20      1960.10       2393.40       4450.80      8276.70      11897.50      15391.40
                          </t>
        </r>
      </text>
    </comment>
    <comment ref="B47" authorId="2">
      <text>
        <r>
          <rPr>
            <b/>
            <sz val="14"/>
            <rFont val="宋体"/>
            <charset val="134"/>
          </rPr>
          <t xml:space="preserve">招标代理费：     货物招标      服务招标      工程招标
100万元以下       1.5%          1.5%          1.0%  
100-500           1.1%          0.8%          0.7%
500-1000          0.8%          0.45%         0.55%
1000-5000         0.5%          0.25%         0.35%
5000-10000        0.25%         0.1%          0.2%
10000-100000      0.05%         0.05%         0.05%
100000万元以上     0.01%         0.01%         0.01%
</t>
        </r>
        <r>
          <rPr>
            <sz val="9"/>
            <rFont val="宋体"/>
            <charset val="134"/>
          </rPr>
          <t xml:space="preserve">
</t>
        </r>
      </text>
    </comment>
  </commentList>
</comments>
</file>

<file path=xl/sharedStrings.xml><?xml version="1.0" encoding="utf-8"?>
<sst xmlns="http://schemas.openxmlformats.org/spreadsheetml/2006/main" count="229" uniqueCount="173">
  <si>
    <t>目        录</t>
  </si>
  <si>
    <t>一、</t>
  </si>
  <si>
    <t>编制说明………………………………………………………………………………………</t>
  </si>
  <si>
    <t>二、</t>
  </si>
  <si>
    <t>总估算表（方案一）一期…………………………………………………</t>
  </si>
  <si>
    <t>2.1</t>
  </si>
  <si>
    <t>综合估算表（方案一）一期…………………………………………………………………………</t>
  </si>
  <si>
    <t>2.2</t>
  </si>
  <si>
    <t>单位建（构）筑物土建估算表（方案一）一期……………………………………………………</t>
  </si>
  <si>
    <t>2.3</t>
  </si>
  <si>
    <t>单位建（构）筑物安装估算表（方案一）一期……………………………………………………</t>
  </si>
  <si>
    <t>2.4</t>
  </si>
  <si>
    <t>综合估算表（方案一）二期………………………………………………………………………………</t>
  </si>
  <si>
    <t>2.5</t>
  </si>
  <si>
    <t>单位建（构）筑物估算表（方案一）二期……………………………………………………</t>
  </si>
  <si>
    <t>三、</t>
  </si>
  <si>
    <t>总估算表（方案二）一期…………………………………………………</t>
  </si>
  <si>
    <t>3.1</t>
  </si>
  <si>
    <t>综合估算表（方案二）一期………………………………………………………………………</t>
  </si>
  <si>
    <t>3.2</t>
  </si>
  <si>
    <t>单位建（构）筑物土建估算表（方案二）一期…………………………………………………</t>
  </si>
  <si>
    <t>3.3</t>
  </si>
  <si>
    <t>单位建（构）筑物安装估算表（方案二）一期………………………………………………</t>
  </si>
  <si>
    <t>3.4</t>
  </si>
  <si>
    <t>综合估算表（方案二）二期………………………………………………………………………………</t>
  </si>
  <si>
    <t>3.5</t>
  </si>
  <si>
    <t>单位建（构）筑物估算表（方案二）二期……………………………………………………</t>
  </si>
  <si>
    <t>四、</t>
  </si>
  <si>
    <t>厂外管网一期…………………………………………………………………………………………………………</t>
  </si>
  <si>
    <t>五、</t>
  </si>
  <si>
    <t>厂外管网二期…………………………………………………………………………………………………………</t>
  </si>
  <si>
    <t>六、</t>
  </si>
  <si>
    <t>投资分析表………………………………………………………………………………………</t>
  </si>
  <si>
    <t>七、</t>
  </si>
  <si>
    <t>经济评价编制说明…………………………………………………………</t>
  </si>
  <si>
    <t>八、</t>
  </si>
  <si>
    <t>现金流量表（全部投资）………………………………………………………………………………</t>
  </si>
  <si>
    <t>九、</t>
  </si>
  <si>
    <t>现金流量表（自有资金）………………………………………………………………………………</t>
  </si>
  <si>
    <t>十、</t>
  </si>
  <si>
    <t>损益表………………………………………………………………………………</t>
  </si>
  <si>
    <t>十一、</t>
  </si>
  <si>
    <t>资金来源与运用表………………………………………………………………………………</t>
  </si>
  <si>
    <t>十二、</t>
  </si>
  <si>
    <t>资产负债表………………………………………………………………………………</t>
  </si>
  <si>
    <t>十三、</t>
  </si>
  <si>
    <t>固定资产投资估算表………………………………………………………………………………</t>
  </si>
  <si>
    <t>十四、</t>
  </si>
  <si>
    <t>流动资金估算表………………………………………………………………………………</t>
  </si>
  <si>
    <t>十五、</t>
  </si>
  <si>
    <t>投资计划与资金筹措表………………………………………………………………………………</t>
  </si>
  <si>
    <t>十六、</t>
  </si>
  <si>
    <t>固定资产折旧费估算表………………………………………………………………………………</t>
  </si>
  <si>
    <t>十七、</t>
  </si>
  <si>
    <t>无形及递延资产摊销估算表………………………………………………………………………………</t>
  </si>
  <si>
    <t>十八、</t>
  </si>
  <si>
    <t>总成本费用估算表………………………………………………………………………………</t>
  </si>
  <si>
    <t>十九、</t>
  </si>
  <si>
    <t>借款还本付息计算表………………………………………………………………………………</t>
  </si>
  <si>
    <t>二十、</t>
  </si>
  <si>
    <t>国民经济效益费用流量表………………………………………………………………………………</t>
  </si>
  <si>
    <t>总   估  算  表</t>
  </si>
  <si>
    <t>序                       号</t>
  </si>
  <si>
    <t>工 程 和 费 用 名 称</t>
  </si>
  <si>
    <t>估       算       价       值     （万元）</t>
  </si>
  <si>
    <t>技术经济指标（元）</t>
  </si>
  <si>
    <t>占总投
资比例</t>
  </si>
  <si>
    <t>建    筑
工    程</t>
  </si>
  <si>
    <t>设备及
工器具</t>
  </si>
  <si>
    <t>安   装
工   程</t>
  </si>
  <si>
    <t>其   他
费   用</t>
  </si>
  <si>
    <t>合   计</t>
  </si>
  <si>
    <t>单  位</t>
  </si>
  <si>
    <t>数  量</t>
  </si>
  <si>
    <t>指  标</t>
  </si>
  <si>
    <t>建设项目总投资</t>
  </si>
  <si>
    <t>占总投资比例（%）</t>
  </si>
  <si>
    <t>建设投资合计</t>
  </si>
  <si>
    <t>一</t>
  </si>
  <si>
    <t>工程费用</t>
  </si>
  <si>
    <t>二</t>
  </si>
  <si>
    <t>工程建设其他费用</t>
  </si>
  <si>
    <t>三</t>
  </si>
  <si>
    <t>预备费</t>
  </si>
  <si>
    <t>1</t>
  </si>
  <si>
    <t xml:space="preserve">基本预备费    </t>
  </si>
  <si>
    <t>2</t>
  </si>
  <si>
    <t>价差预备费</t>
  </si>
  <si>
    <t>四</t>
  </si>
  <si>
    <t>建设期贷款利息</t>
  </si>
  <si>
    <t>五</t>
  </si>
  <si>
    <t>铺底流动资金</t>
  </si>
  <si>
    <t>投资概算审定表</t>
  </si>
  <si>
    <t>建设项目名称：民乐县污水处理厂污泥处置设施建设项目</t>
  </si>
  <si>
    <t>单位</t>
  </si>
  <si>
    <t>m3/d</t>
  </si>
  <si>
    <t>辅助车间</t>
  </si>
  <si>
    <r>
      <rPr>
        <sz val="11"/>
        <rFont val="宋体"/>
        <charset val="134"/>
      </rPr>
      <t>1</t>
    </r>
    <r>
      <rPr>
        <sz val="11"/>
        <rFont val="宋体"/>
        <charset val="134"/>
      </rPr>
      <t>.1</t>
    </r>
  </si>
  <si>
    <t>其中：辅助车间土建工程</t>
  </si>
  <si>
    <t>m2</t>
  </si>
  <si>
    <r>
      <rPr>
        <sz val="11"/>
        <rFont val="宋体"/>
        <charset val="134"/>
      </rPr>
      <t>1</t>
    </r>
    <r>
      <rPr>
        <sz val="11"/>
        <rFont val="宋体"/>
        <charset val="134"/>
      </rPr>
      <t>.2</t>
    </r>
  </si>
  <si>
    <t xml:space="preserve">      工艺设备安装</t>
  </si>
  <si>
    <t>一体化智能化好氧发酵设备</t>
  </si>
  <si>
    <t>其中：设备基础</t>
  </si>
  <si>
    <t xml:space="preserve">      工艺安装</t>
  </si>
  <si>
    <t>3</t>
  </si>
  <si>
    <t>综合用房</t>
  </si>
  <si>
    <t>4</t>
  </si>
  <si>
    <t>污水池</t>
  </si>
  <si>
    <t>m3</t>
  </si>
  <si>
    <t>5</t>
  </si>
  <si>
    <t>门卫及大门</t>
  </si>
  <si>
    <t>6</t>
  </si>
  <si>
    <t>运输设备</t>
  </si>
  <si>
    <t>7</t>
  </si>
  <si>
    <t>电气设备</t>
  </si>
  <si>
    <t>8</t>
  </si>
  <si>
    <t>工业电视监控设备</t>
  </si>
  <si>
    <t>电力外线</t>
  </si>
  <si>
    <t>km</t>
  </si>
  <si>
    <t>9</t>
  </si>
  <si>
    <t>围墙</t>
  </si>
  <si>
    <t>m</t>
  </si>
  <si>
    <t>10</t>
  </si>
  <si>
    <t>总平面工程</t>
  </si>
  <si>
    <t>10.1</t>
  </si>
  <si>
    <t>道路及硬化工程</t>
  </si>
  <si>
    <t>10.2</t>
  </si>
  <si>
    <t>绿化工程</t>
  </si>
  <si>
    <t>10.3</t>
  </si>
  <si>
    <t>路灯工程</t>
  </si>
  <si>
    <t>套</t>
  </si>
  <si>
    <t>10.4</t>
  </si>
  <si>
    <t>总图综合管线工程</t>
  </si>
  <si>
    <t>征地费</t>
  </si>
  <si>
    <t>亩</t>
  </si>
  <si>
    <t xml:space="preserve">建设单位管理费   </t>
  </si>
  <si>
    <r>
      <rPr>
        <sz val="11"/>
        <rFont val="宋体"/>
        <charset val="134"/>
      </rPr>
      <t>财建[20</t>
    </r>
    <r>
      <rPr>
        <sz val="11"/>
        <rFont val="宋体"/>
        <charset val="134"/>
      </rPr>
      <t>16</t>
    </r>
    <r>
      <rPr>
        <sz val="11"/>
        <rFont val="宋体"/>
        <charset val="134"/>
      </rPr>
      <t>]</t>
    </r>
    <r>
      <rPr>
        <sz val="11"/>
        <rFont val="宋体"/>
        <charset val="134"/>
      </rPr>
      <t>504</t>
    </r>
    <r>
      <rPr>
        <sz val="11"/>
        <rFont val="宋体"/>
        <charset val="134"/>
      </rPr>
      <t>号文</t>
    </r>
  </si>
  <si>
    <t xml:space="preserve">工程建设监理费      </t>
  </si>
  <si>
    <t>发改价格[2007]670号文</t>
  </si>
  <si>
    <t>生产职工培训费</t>
  </si>
  <si>
    <t>人</t>
  </si>
  <si>
    <t>办公和生活家具购置费</t>
  </si>
  <si>
    <t xml:space="preserve">联合试运转费  </t>
  </si>
  <si>
    <t>工程勘察费</t>
  </si>
  <si>
    <t xml:space="preserve">设计费           </t>
  </si>
  <si>
    <t>计价格[2002]10号文</t>
  </si>
  <si>
    <t>竣工图编制费</t>
  </si>
  <si>
    <t>造价咨询费</t>
  </si>
  <si>
    <t>施工图审查费</t>
  </si>
  <si>
    <r>
      <rPr>
        <sz val="11"/>
        <rFont val="宋体"/>
        <charset val="134"/>
      </rPr>
      <t>甘价服务[2005</t>
    </r>
    <r>
      <rPr>
        <sz val="11"/>
        <rFont val="宋体"/>
        <charset val="134"/>
      </rPr>
      <t>]</t>
    </r>
    <r>
      <rPr>
        <sz val="11"/>
        <rFont val="宋体"/>
        <charset val="134"/>
      </rPr>
      <t>229</t>
    </r>
    <r>
      <rPr>
        <sz val="11"/>
        <rFont val="宋体"/>
        <charset val="134"/>
      </rPr>
      <t>号文</t>
    </r>
  </si>
  <si>
    <t>11</t>
  </si>
  <si>
    <t>可研编制评估费</t>
  </si>
  <si>
    <t>计价格[1999]1283号文</t>
  </si>
  <si>
    <t>12</t>
  </si>
  <si>
    <t xml:space="preserve">招标代理服务费 </t>
  </si>
  <si>
    <t>计价格[2002]1980号文</t>
  </si>
  <si>
    <t>13</t>
  </si>
  <si>
    <t>劳动安全卫生评审费</t>
  </si>
  <si>
    <t>14</t>
  </si>
  <si>
    <t>工程保险费</t>
  </si>
  <si>
    <t>15</t>
  </si>
  <si>
    <t>场地准备费及临时设施费</t>
  </si>
  <si>
    <t>16</t>
  </si>
  <si>
    <t>节能评估费</t>
  </si>
  <si>
    <t>17</t>
  </si>
  <si>
    <t>招投标交易服务费</t>
  </si>
  <si>
    <t>18</t>
  </si>
  <si>
    <t>环境影响咨询服务费</t>
  </si>
  <si>
    <t>计价格[2002]125号文</t>
  </si>
  <si>
    <t>20</t>
  </si>
  <si>
    <t>19</t>
  </si>
  <si>
    <t>污泥鉴定费</t>
  </si>
</sst>
</file>

<file path=xl/styles.xml><?xml version="1.0" encoding="utf-8"?>
<styleSheet xmlns="http://schemas.openxmlformats.org/spreadsheetml/2006/main">
  <numFmts count="12">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numFmt numFmtId="177" formatCode="0.00_ "/>
    <numFmt numFmtId="178" formatCode="0_);[Red]\(0\)"/>
    <numFmt numFmtId="179" formatCode="0_ "/>
    <numFmt numFmtId="180" formatCode="0.0_);[Red]\(0.0\)"/>
    <numFmt numFmtId="181" formatCode="#,##0.0000"/>
    <numFmt numFmtId="182" formatCode="0;_䀀"/>
    <numFmt numFmtId="183" formatCode="0.0%"/>
  </numFmts>
  <fonts count="47">
    <font>
      <sz val="12"/>
      <name val="宋体"/>
      <charset val="134"/>
    </font>
    <font>
      <sz val="11"/>
      <name val="宋体"/>
      <charset val="134"/>
    </font>
    <font>
      <u val="double"/>
      <sz val="11"/>
      <name val="宋体"/>
      <charset val="134"/>
    </font>
    <font>
      <u val="double"/>
      <sz val="11"/>
      <color indexed="8"/>
      <name val="宋体"/>
      <charset val="134"/>
    </font>
    <font>
      <u val="double"/>
      <sz val="12"/>
      <color indexed="8"/>
      <name val="宋体"/>
      <charset val="134"/>
    </font>
    <font>
      <b/>
      <sz val="18"/>
      <color indexed="8"/>
      <name val="宋体"/>
      <charset val="134"/>
    </font>
    <font>
      <sz val="12"/>
      <color indexed="8"/>
      <name val="宋体"/>
      <charset val="134"/>
    </font>
    <font>
      <b/>
      <sz val="12"/>
      <color indexed="8"/>
      <name val="宋体"/>
      <charset val="134"/>
    </font>
    <font>
      <sz val="12"/>
      <name val="Times New Roman"/>
      <charset val="134"/>
    </font>
    <font>
      <sz val="12"/>
      <name val="宋体"/>
      <charset val="134"/>
    </font>
    <font>
      <sz val="11"/>
      <name val="Times New Roman"/>
      <charset val="134"/>
    </font>
    <font>
      <sz val="11"/>
      <color indexed="8"/>
      <name val="宋体"/>
      <charset val="134"/>
    </font>
    <font>
      <b/>
      <sz val="20"/>
      <color indexed="8"/>
      <name val="宋体"/>
      <charset val="134"/>
    </font>
    <font>
      <sz val="9"/>
      <color indexed="8"/>
      <name val="宋体"/>
      <charset val="134"/>
    </font>
    <font>
      <b/>
      <sz val="10"/>
      <color indexed="8"/>
      <name val="宋体"/>
      <charset val="134"/>
    </font>
    <font>
      <u val="double"/>
      <sz val="10"/>
      <color indexed="8"/>
      <name val="宋体"/>
      <charset val="134"/>
    </font>
    <font>
      <sz val="10"/>
      <color indexed="8"/>
      <name val="宋体"/>
      <charset val="134"/>
    </font>
    <font>
      <sz val="14"/>
      <name val="宋体"/>
      <charset val="134"/>
    </font>
    <font>
      <b/>
      <sz val="20"/>
      <name val="宋体"/>
      <charset val="134"/>
    </font>
    <font>
      <sz val="14"/>
      <name val="Times New Roman"/>
      <charset val="134"/>
    </font>
    <font>
      <sz val="11"/>
      <color theme="1"/>
      <name val="宋体"/>
      <charset val="134"/>
      <scheme val="minor"/>
    </font>
    <font>
      <sz val="11"/>
      <color theme="1"/>
      <name val="宋体"/>
      <charset val="0"/>
      <scheme val="minor"/>
    </font>
    <font>
      <sz val="11"/>
      <color rgb="FFFF0000"/>
      <name val="宋体"/>
      <charset val="0"/>
      <scheme val="minor"/>
    </font>
    <font>
      <u val="double"/>
      <sz val="12"/>
      <name val="宋体"/>
      <charset val="134"/>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0"/>
      <name val="MS Sans Serif"/>
      <charset val="134"/>
    </font>
    <font>
      <u/>
      <sz val="11"/>
      <color rgb="FF80008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b/>
      <sz val="12"/>
      <name val="宋体"/>
      <charset val="134"/>
    </font>
    <font>
      <b/>
      <sz val="14"/>
      <name val="宋体"/>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5">
    <xf numFmtId="0" fontId="0" fillId="0" borderId="0">
      <alignment vertical="center"/>
    </xf>
    <xf numFmtId="42" fontId="20" fillId="0" borderId="0" applyFont="0" applyFill="0" applyBorder="0" applyAlignment="0" applyProtection="0">
      <alignment vertical="center"/>
    </xf>
    <xf numFmtId="0" fontId="21" fillId="8" borderId="0" applyNumberFormat="0" applyBorder="0" applyAlignment="0" applyProtection="0">
      <alignment vertical="center"/>
    </xf>
    <xf numFmtId="0" fontId="26" fillId="14" borderId="10"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5" fillId="13" borderId="0" applyNumberFormat="0" applyBorder="0" applyAlignment="0" applyProtection="0">
      <alignment vertical="center"/>
    </xf>
    <xf numFmtId="43" fontId="20" fillId="0" borderId="0" applyFont="0" applyFill="0" applyBorder="0" applyAlignment="0" applyProtection="0">
      <alignment vertical="center"/>
    </xf>
    <xf numFmtId="0" fontId="27" fillId="17" borderId="0" applyNumberFormat="0" applyBorder="0" applyAlignment="0" applyProtection="0">
      <alignment vertical="center"/>
    </xf>
    <xf numFmtId="0" fontId="29" fillId="0" borderId="0" applyNumberFormat="0" applyFill="0" applyBorder="0" applyAlignment="0" applyProtection="0">
      <alignment vertical="center"/>
    </xf>
    <xf numFmtId="9" fontId="9" fillId="0" borderId="0" applyFont="0" applyFill="0" applyBorder="0" applyAlignment="0" applyProtection="0">
      <alignment vertical="center"/>
    </xf>
    <xf numFmtId="0" fontId="31" fillId="0" borderId="0" applyNumberFormat="0" applyFill="0" applyBorder="0" applyAlignment="0" applyProtection="0">
      <alignment vertical="center"/>
    </xf>
    <xf numFmtId="9" fontId="9" fillId="0" borderId="0" applyFont="0" applyFill="0" applyBorder="0" applyAlignment="0" applyProtection="0"/>
    <xf numFmtId="0" fontId="20" fillId="12" borderId="9" applyNumberFormat="0" applyFont="0" applyAlignment="0" applyProtection="0">
      <alignment vertical="center"/>
    </xf>
    <xf numFmtId="0" fontId="27" fillId="15"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12" applyNumberFormat="0" applyFill="0" applyAlignment="0" applyProtection="0">
      <alignment vertical="center"/>
    </xf>
    <xf numFmtId="0" fontId="37" fillId="0" borderId="12" applyNumberFormat="0" applyFill="0" applyAlignment="0" applyProtection="0">
      <alignment vertical="center"/>
    </xf>
    <xf numFmtId="0" fontId="27" fillId="24" borderId="0" applyNumberFormat="0" applyBorder="0" applyAlignment="0" applyProtection="0">
      <alignment vertical="center"/>
    </xf>
    <xf numFmtId="0" fontId="24" fillId="0" borderId="14" applyNumberFormat="0" applyFill="0" applyAlignment="0" applyProtection="0">
      <alignment vertical="center"/>
    </xf>
    <xf numFmtId="0" fontId="27" fillId="25" borderId="0" applyNumberFormat="0" applyBorder="0" applyAlignment="0" applyProtection="0">
      <alignment vertical="center"/>
    </xf>
    <xf numFmtId="0" fontId="39" fillId="29" borderId="15" applyNumberFormat="0" applyAlignment="0" applyProtection="0">
      <alignment vertical="center"/>
    </xf>
    <xf numFmtId="0" fontId="40" fillId="29" borderId="10" applyNumberFormat="0" applyAlignment="0" applyProtection="0">
      <alignment vertical="center"/>
    </xf>
    <xf numFmtId="0" fontId="41" fillId="30" borderId="16" applyNumberFormat="0" applyAlignment="0" applyProtection="0">
      <alignment vertical="center"/>
    </xf>
    <xf numFmtId="0" fontId="21" fillId="9" borderId="0" applyNumberFormat="0" applyBorder="0" applyAlignment="0" applyProtection="0">
      <alignment vertical="center"/>
    </xf>
    <xf numFmtId="0" fontId="27" fillId="26" borderId="0" applyNumberFormat="0" applyBorder="0" applyAlignment="0" applyProtection="0">
      <alignment vertical="center"/>
    </xf>
    <xf numFmtId="0" fontId="34" fillId="0" borderId="11" applyNumberFormat="0" applyFill="0" applyAlignment="0" applyProtection="0">
      <alignment vertical="center"/>
    </xf>
    <xf numFmtId="0" fontId="36" fillId="0" borderId="13" applyNumberFormat="0" applyFill="0" applyAlignment="0" applyProtection="0">
      <alignment vertical="center"/>
    </xf>
    <xf numFmtId="0" fontId="38" fillId="28" borderId="0" applyNumberFormat="0" applyBorder="0" applyAlignment="0" applyProtection="0">
      <alignment vertical="center"/>
    </xf>
    <xf numFmtId="0" fontId="28" fillId="18" borderId="0" applyNumberFormat="0" applyBorder="0" applyAlignment="0" applyProtection="0">
      <alignment vertical="center"/>
    </xf>
    <xf numFmtId="0" fontId="21" fillId="31" borderId="0" applyNumberFormat="0" applyBorder="0" applyAlignment="0" applyProtection="0">
      <alignment vertical="center"/>
    </xf>
    <xf numFmtId="0" fontId="27" fillId="2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9" fillId="0" borderId="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1"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27" fillId="27" borderId="0" applyNumberFormat="0" applyBorder="0" applyAlignment="0" applyProtection="0">
      <alignment vertical="center"/>
    </xf>
    <xf numFmtId="0" fontId="9" fillId="0" borderId="0"/>
    <xf numFmtId="0" fontId="9" fillId="0" borderId="0">
      <alignment vertical="center"/>
    </xf>
    <xf numFmtId="9" fontId="9" fillId="0" borderId="0" applyFont="0" applyFill="0" applyBorder="0" applyAlignment="0" applyProtection="0">
      <alignment vertical="center"/>
    </xf>
    <xf numFmtId="0" fontId="21" fillId="34" borderId="0" applyNumberFormat="0" applyBorder="0" applyAlignment="0" applyProtection="0">
      <alignment vertical="center"/>
    </xf>
    <xf numFmtId="0" fontId="27" fillId="16" borderId="0" applyNumberFormat="0" applyBorder="0" applyAlignment="0" applyProtection="0">
      <alignment vertical="center"/>
    </xf>
    <xf numFmtId="0" fontId="27" fillId="23" borderId="0" applyNumberFormat="0" applyBorder="0" applyAlignment="0" applyProtection="0">
      <alignment vertical="center"/>
    </xf>
    <xf numFmtId="0" fontId="21" fillId="5" borderId="0" applyNumberFormat="0" applyBorder="0" applyAlignment="0" applyProtection="0">
      <alignment vertical="center"/>
    </xf>
    <xf numFmtId="0" fontId="27" fillId="19" borderId="0" applyNumberFormat="0" applyBorder="0" applyAlignment="0" applyProtection="0">
      <alignment vertical="center"/>
    </xf>
    <xf numFmtId="0" fontId="11" fillId="0" borderId="0">
      <alignment vertical="center"/>
    </xf>
    <xf numFmtId="0" fontId="30" fillId="0" borderId="0"/>
    <xf numFmtId="0" fontId="11" fillId="0" borderId="0">
      <alignment vertical="center"/>
    </xf>
    <xf numFmtId="0" fontId="11" fillId="0" borderId="0">
      <alignment vertical="center"/>
    </xf>
    <xf numFmtId="0" fontId="11" fillId="0" borderId="0">
      <alignment vertical="center"/>
    </xf>
    <xf numFmtId="0" fontId="23" fillId="0" borderId="0"/>
    <xf numFmtId="41" fontId="9" fillId="0" borderId="0" applyFont="0" applyFill="0" applyBorder="0" applyAlignment="0" applyProtection="0"/>
    <xf numFmtId="0" fontId="9" fillId="0" borderId="0"/>
    <xf numFmtId="43" fontId="9" fillId="0" borderId="0" applyFont="0" applyFill="0" applyBorder="0" applyAlignment="0" applyProtection="0"/>
  </cellStyleXfs>
  <cellXfs count="114">
    <xf numFmtId="0" fontId="0" fillId="0" borderId="0" xfId="0">
      <alignment vertical="center"/>
    </xf>
    <xf numFmtId="0" fontId="1" fillId="0" borderId="0" xfId="18" applyFont="1" applyFill="1">
      <alignment vertical="center"/>
    </xf>
    <xf numFmtId="0" fontId="2" fillId="0" borderId="0" xfId="61" applyFont="1" applyFill="1" applyAlignment="1">
      <alignment vertical="center"/>
    </xf>
    <xf numFmtId="0" fontId="3" fillId="0" borderId="0" xfId="61" applyFont="1" applyFill="1" applyAlignment="1">
      <alignment vertical="center"/>
    </xf>
    <xf numFmtId="0" fontId="4" fillId="0" borderId="0" xfId="61" applyFont="1" applyFill="1" applyAlignment="1">
      <alignment vertical="center"/>
    </xf>
    <xf numFmtId="0" fontId="4" fillId="0" borderId="0" xfId="61"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vertical="center"/>
    </xf>
    <xf numFmtId="0" fontId="6" fillId="0" borderId="2" xfId="61" applyFont="1" applyFill="1" applyBorder="1" applyAlignment="1">
      <alignment horizontal="center" vertical="center" wrapText="1"/>
    </xf>
    <xf numFmtId="0" fontId="6" fillId="0" borderId="2" xfId="61" applyFont="1" applyFill="1" applyBorder="1" applyAlignment="1">
      <alignment horizontal="center" vertical="center"/>
    </xf>
    <xf numFmtId="0" fontId="6" fillId="0" borderId="3" xfId="61" applyFont="1" applyFill="1" applyBorder="1" applyAlignment="1">
      <alignment horizontal="center" vertical="center"/>
    </xf>
    <xf numFmtId="0" fontId="7" fillId="0" borderId="3" xfId="61" applyFont="1" applyFill="1" applyBorder="1" applyAlignment="1">
      <alignment vertical="center"/>
    </xf>
    <xf numFmtId="177" fontId="7" fillId="0" borderId="3" xfId="61" applyNumberFormat="1" applyFont="1" applyFill="1" applyBorder="1" applyAlignment="1">
      <alignment horizontal="center" vertical="center"/>
    </xf>
    <xf numFmtId="177" fontId="8" fillId="0" borderId="2" xfId="18" applyNumberFormat="1" applyFont="1" applyFill="1" applyBorder="1" applyAlignment="1">
      <alignment horizontal="center" vertical="center"/>
    </xf>
    <xf numFmtId="177" fontId="6" fillId="0" borderId="3" xfId="61" applyNumberFormat="1" applyFont="1" applyFill="1" applyBorder="1" applyAlignment="1">
      <alignment horizontal="center" vertical="center"/>
    </xf>
    <xf numFmtId="0" fontId="6" fillId="0" borderId="2" xfId="61" applyFont="1" applyFill="1" applyBorder="1" applyAlignment="1" applyProtection="1">
      <alignment horizontal="center" vertical="center"/>
      <protection locked="0"/>
    </xf>
    <xf numFmtId="0" fontId="6" fillId="0" borderId="3" xfId="61" applyFont="1" applyFill="1" applyBorder="1" applyAlignment="1">
      <alignment vertical="center"/>
    </xf>
    <xf numFmtId="10" fontId="6" fillId="0" borderId="3" xfId="11" applyNumberFormat="1" applyFont="1" applyFill="1" applyBorder="1" applyAlignment="1">
      <alignment horizontal="center" vertical="center"/>
    </xf>
    <xf numFmtId="0" fontId="7" fillId="0" borderId="2" xfId="61" applyFont="1" applyFill="1" applyBorder="1" applyAlignment="1">
      <alignment vertical="center"/>
    </xf>
    <xf numFmtId="177" fontId="7" fillId="0" borderId="2" xfId="61" applyNumberFormat="1" applyFont="1" applyFill="1" applyBorder="1" applyAlignment="1">
      <alignment horizontal="center" vertical="center"/>
    </xf>
    <xf numFmtId="177" fontId="6" fillId="0" borderId="2" xfId="61" applyNumberFormat="1" applyFont="1" applyFill="1" applyBorder="1" applyAlignment="1">
      <alignment horizontal="center" vertical="center"/>
    </xf>
    <xf numFmtId="0" fontId="7" fillId="0" borderId="2" xfId="61" applyFont="1" applyFill="1" applyBorder="1" applyAlignment="1">
      <alignment horizontal="center" vertical="center"/>
    </xf>
    <xf numFmtId="49" fontId="1" fillId="0" borderId="2" xfId="48" applyNumberFormat="1" applyFont="1" applyFill="1" applyBorder="1" applyAlignment="1">
      <alignment horizontal="center" vertical="center"/>
    </xf>
    <xf numFmtId="177" fontId="1" fillId="0" borderId="2" xfId="18" applyNumberFormat="1" applyFont="1" applyFill="1" applyBorder="1" applyAlignment="1">
      <alignment vertical="center"/>
    </xf>
    <xf numFmtId="177" fontId="1" fillId="0" borderId="2" xfId="18" applyNumberFormat="1" applyFont="1" applyFill="1" applyBorder="1" applyAlignment="1">
      <alignment horizontal="center" vertical="center"/>
    </xf>
    <xf numFmtId="177" fontId="9" fillId="0" borderId="2" xfId="18" applyNumberFormat="1" applyFont="1" applyFill="1" applyBorder="1" applyAlignment="1">
      <alignment horizontal="center" vertical="center"/>
    </xf>
    <xf numFmtId="0" fontId="1" fillId="0" borderId="2" xfId="18" applyFont="1" applyFill="1" applyBorder="1">
      <alignment vertical="center"/>
    </xf>
    <xf numFmtId="177" fontId="10" fillId="0" borderId="2" xfId="18" applyNumberFormat="1" applyFont="1" applyFill="1" applyBorder="1" applyAlignment="1">
      <alignment horizontal="center" vertical="center"/>
    </xf>
    <xf numFmtId="177" fontId="1" fillId="0" borderId="2" xfId="18" applyNumberFormat="1" applyFont="1" applyFill="1" applyBorder="1" applyAlignment="1">
      <alignment horizontal="left" vertical="center"/>
    </xf>
    <xf numFmtId="177" fontId="1" fillId="0" borderId="2" xfId="61" applyNumberFormat="1" applyFont="1" applyFill="1" applyBorder="1" applyAlignment="1">
      <alignment horizontal="center" vertical="center"/>
    </xf>
    <xf numFmtId="177" fontId="9" fillId="0" borderId="2" xfId="18" applyNumberFormat="1" applyFont="1" applyFill="1" applyBorder="1" applyAlignment="1">
      <alignment vertical="center"/>
    </xf>
    <xf numFmtId="177" fontId="9" fillId="0" borderId="2" xfId="61" applyNumberFormat="1" applyFont="1" applyFill="1" applyBorder="1" applyAlignment="1">
      <alignment horizontal="center" vertical="center"/>
    </xf>
    <xf numFmtId="0" fontId="9" fillId="0" borderId="2" xfId="61" applyFont="1" applyFill="1" applyBorder="1" applyAlignment="1">
      <alignment horizontal="center" vertical="center"/>
    </xf>
    <xf numFmtId="49" fontId="9" fillId="0" borderId="2" xfId="48" applyNumberFormat="1" applyFont="1" applyFill="1" applyBorder="1" applyAlignment="1">
      <alignment horizontal="center" vertical="center"/>
    </xf>
    <xf numFmtId="0" fontId="1" fillId="0" borderId="2" xfId="61" applyFont="1" applyFill="1" applyBorder="1" applyAlignment="1">
      <alignment horizontal="center" vertical="center"/>
    </xf>
    <xf numFmtId="0" fontId="1" fillId="0" borderId="2" xfId="61" applyFont="1" applyFill="1" applyBorder="1" applyAlignment="1">
      <alignment vertical="center"/>
    </xf>
    <xf numFmtId="177" fontId="1" fillId="0" borderId="2" xfId="39" applyNumberFormat="1" applyFont="1" applyFill="1" applyBorder="1" applyAlignment="1">
      <alignment horizontal="center" vertical="center"/>
    </xf>
    <xf numFmtId="0" fontId="11" fillId="0" borderId="2" xfId="61" applyFont="1" applyFill="1" applyBorder="1" applyAlignment="1">
      <alignment vertical="center"/>
    </xf>
    <xf numFmtId="177" fontId="11" fillId="0" borderId="2" xfId="61" applyNumberFormat="1" applyFont="1" applyFill="1" applyBorder="1" applyAlignment="1">
      <alignment horizontal="center" vertical="center"/>
    </xf>
    <xf numFmtId="0" fontId="11" fillId="0" borderId="2" xfId="6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77" fontId="14" fillId="0" borderId="0" xfId="0" applyNumberFormat="1" applyFont="1" applyFill="1" applyAlignment="1">
      <alignment horizontal="center" vertical="center"/>
    </xf>
    <xf numFmtId="0" fontId="15" fillId="0" borderId="0" xfId="61" applyFont="1" applyFill="1" applyAlignment="1">
      <alignment vertical="center"/>
    </xf>
    <xf numFmtId="0" fontId="6" fillId="0" borderId="0" xfId="0" applyFont="1" applyFill="1" applyBorder="1" applyAlignment="1">
      <alignment vertical="center"/>
    </xf>
    <xf numFmtId="0" fontId="16" fillId="0" borderId="0" xfId="0" applyFont="1" applyFill="1" applyBorder="1" applyAlignment="1">
      <alignment vertical="center"/>
    </xf>
    <xf numFmtId="0" fontId="6" fillId="0" borderId="4" xfId="61" applyFont="1" applyFill="1" applyBorder="1" applyAlignment="1">
      <alignment horizontal="center" vertical="center" wrapText="1"/>
    </xf>
    <xf numFmtId="0" fontId="6" fillId="0" borderId="0" xfId="61" applyFont="1" applyFill="1" applyBorder="1" applyAlignment="1">
      <alignment horizontal="center" vertical="center" wrapText="1"/>
    </xf>
    <xf numFmtId="0" fontId="16" fillId="0" borderId="0" xfId="61" applyFont="1" applyFill="1" applyBorder="1" applyAlignment="1">
      <alignment horizontal="center" vertical="center" wrapText="1"/>
    </xf>
    <xf numFmtId="0" fontId="6" fillId="0" borderId="5" xfId="61" applyFont="1" applyFill="1" applyBorder="1" applyAlignment="1">
      <alignment horizontal="center" vertical="center" wrapText="1"/>
    </xf>
    <xf numFmtId="0" fontId="6" fillId="0" borderId="0" xfId="61" applyFont="1" applyFill="1" applyBorder="1" applyAlignment="1">
      <alignment horizontal="center" vertical="center"/>
    </xf>
    <xf numFmtId="0" fontId="16" fillId="0" borderId="0" xfId="61" applyFont="1" applyFill="1" applyBorder="1" applyAlignment="1">
      <alignment horizontal="center" vertical="center"/>
    </xf>
    <xf numFmtId="177" fontId="15" fillId="0" borderId="0" xfId="61" applyNumberFormat="1" applyFont="1" applyFill="1" applyAlignment="1">
      <alignment vertical="center"/>
    </xf>
    <xf numFmtId="0" fontId="6" fillId="0" borderId="3" xfId="61" applyFont="1" applyFill="1" applyBorder="1" applyAlignment="1">
      <alignment horizontal="center" vertical="center" wrapText="1"/>
    </xf>
    <xf numFmtId="178" fontId="6" fillId="0" borderId="3" xfId="61" applyNumberFormat="1" applyFont="1" applyFill="1" applyBorder="1" applyAlignment="1">
      <alignment horizontal="center" vertical="center"/>
    </xf>
    <xf numFmtId="10" fontId="6" fillId="0" borderId="2" xfId="11" applyNumberFormat="1" applyFont="1" applyFill="1" applyBorder="1" applyAlignment="1">
      <alignment horizontal="center" vertical="center"/>
    </xf>
    <xf numFmtId="4" fontId="6" fillId="0" borderId="0" xfId="11" applyNumberFormat="1" applyFont="1" applyFill="1" applyBorder="1" applyAlignment="1">
      <alignment horizontal="center" vertical="center"/>
    </xf>
    <xf numFmtId="4" fontId="16" fillId="0" borderId="0" xfId="11" applyNumberFormat="1" applyFont="1" applyFill="1" applyBorder="1" applyAlignment="1">
      <alignment horizontal="center" vertical="center"/>
    </xf>
    <xf numFmtId="4" fontId="15" fillId="0" borderId="0" xfId="61" applyNumberFormat="1" applyFont="1" applyFill="1" applyAlignment="1">
      <alignment vertical="center"/>
    </xf>
    <xf numFmtId="4" fontId="4" fillId="0" borderId="0" xfId="61" applyNumberFormat="1" applyFont="1" applyFill="1" applyAlignment="1">
      <alignment vertical="center"/>
    </xf>
    <xf numFmtId="4" fontId="6" fillId="0" borderId="0" xfId="61" applyNumberFormat="1" applyFont="1" applyFill="1" applyAlignment="1">
      <alignment vertical="center"/>
    </xf>
    <xf numFmtId="10" fontId="11" fillId="0" borderId="2" xfId="11" applyNumberFormat="1" applyFont="1" applyFill="1" applyBorder="1" applyAlignment="1">
      <alignment horizontal="center" vertical="center"/>
    </xf>
    <xf numFmtId="178" fontId="9" fillId="0" borderId="2" xfId="18" applyNumberFormat="1" applyFont="1" applyFill="1" applyBorder="1" applyAlignment="1">
      <alignment horizontal="center" vertical="center"/>
    </xf>
    <xf numFmtId="179" fontId="9" fillId="0" borderId="2" xfId="18" applyNumberFormat="1" applyFont="1" applyFill="1" applyBorder="1" applyAlignment="1">
      <alignment horizontal="center" vertical="center"/>
    </xf>
    <xf numFmtId="180" fontId="1" fillId="0" borderId="2" xfId="18" applyNumberFormat="1" applyFont="1" applyFill="1" applyBorder="1" applyAlignment="1">
      <alignment horizontal="center" vertical="center"/>
    </xf>
    <xf numFmtId="179" fontId="1" fillId="0" borderId="2" xfId="18" applyNumberFormat="1" applyFont="1" applyFill="1" applyBorder="1" applyAlignment="1">
      <alignment horizontal="center" vertical="center"/>
    </xf>
    <xf numFmtId="176" fontId="1" fillId="0" borderId="2" xfId="18" applyNumberFormat="1" applyFont="1" applyFill="1" applyBorder="1" applyAlignment="1">
      <alignment horizontal="center" vertical="center"/>
    </xf>
    <xf numFmtId="0" fontId="10" fillId="0" borderId="2" xfId="18" applyFont="1" applyFill="1" applyBorder="1" applyAlignment="1">
      <alignment horizontal="center" vertical="center" wrapText="1"/>
    </xf>
    <xf numFmtId="177" fontId="1" fillId="0" borderId="0" xfId="18" applyNumberFormat="1" applyFont="1" applyFill="1">
      <alignment vertical="center"/>
    </xf>
    <xf numFmtId="179" fontId="9" fillId="0" borderId="2" xfId="61" applyNumberFormat="1" applyFont="1" applyFill="1" applyBorder="1" applyAlignment="1">
      <alignment horizontal="center" vertical="center"/>
    </xf>
    <xf numFmtId="10" fontId="9" fillId="0" borderId="2" xfId="50" applyNumberFormat="1" applyFont="1" applyFill="1" applyBorder="1" applyAlignment="1">
      <alignment horizontal="center" vertical="center"/>
    </xf>
    <xf numFmtId="181" fontId="1" fillId="0" borderId="0" xfId="50" applyNumberFormat="1" applyFont="1" applyFill="1" applyBorder="1" applyAlignment="1">
      <alignment horizontal="center" vertical="center"/>
    </xf>
    <xf numFmtId="4" fontId="1" fillId="0" borderId="0" xfId="50" applyNumberFormat="1" applyFont="1" applyFill="1" applyBorder="1" applyAlignment="1">
      <alignment horizontal="center" vertical="center"/>
    </xf>
    <xf numFmtId="4" fontId="2" fillId="0" borderId="0" xfId="61" applyNumberFormat="1" applyFont="1" applyFill="1" applyAlignment="1">
      <alignment vertical="center"/>
    </xf>
    <xf numFmtId="3" fontId="15" fillId="0" borderId="0" xfId="61" applyNumberFormat="1" applyFont="1" applyFill="1" applyAlignment="1">
      <alignment vertical="center"/>
    </xf>
    <xf numFmtId="179" fontId="1" fillId="0" borderId="2" xfId="61" applyNumberFormat="1" applyFont="1" applyFill="1" applyBorder="1" applyAlignment="1">
      <alignment horizontal="center" vertical="center"/>
    </xf>
    <xf numFmtId="10" fontId="1" fillId="0" borderId="2" xfId="50" applyNumberFormat="1" applyFont="1" applyFill="1" applyBorder="1" applyAlignment="1">
      <alignment horizontal="center" vertical="center"/>
    </xf>
    <xf numFmtId="10" fontId="1" fillId="0" borderId="6" xfId="61" applyNumberFormat="1" applyFont="1" applyFill="1" applyBorder="1" applyAlignment="1">
      <alignment horizontal="center" vertical="center"/>
    </xf>
    <xf numFmtId="10" fontId="1" fillId="0" borderId="7" xfId="61" applyNumberFormat="1" applyFont="1" applyFill="1" applyBorder="1" applyAlignment="1">
      <alignment horizontal="center" vertical="center"/>
    </xf>
    <xf numFmtId="182" fontId="1" fillId="0" borderId="2" xfId="61" applyNumberFormat="1" applyFont="1" applyFill="1" applyBorder="1" applyAlignment="1">
      <alignment horizontal="center" vertical="center"/>
    </xf>
    <xf numFmtId="9" fontId="1" fillId="0" borderId="2" xfId="61" applyNumberFormat="1" applyFont="1" applyFill="1" applyBorder="1" applyAlignment="1">
      <alignment horizontal="center" vertical="center"/>
    </xf>
    <xf numFmtId="183" fontId="1" fillId="0" borderId="2" xfId="61" applyNumberFormat="1" applyFont="1" applyFill="1" applyBorder="1" applyAlignment="1">
      <alignment horizontal="center" vertical="center"/>
    </xf>
    <xf numFmtId="10" fontId="1" fillId="0" borderId="2" xfId="61" applyNumberFormat="1" applyFont="1" applyFill="1" applyBorder="1" applyAlignment="1">
      <alignment horizontal="center" vertical="center"/>
    </xf>
    <xf numFmtId="3" fontId="11" fillId="0" borderId="0" xfId="11" applyNumberFormat="1" applyFont="1" applyFill="1" applyBorder="1" applyAlignment="1">
      <alignment horizontal="center" vertical="center"/>
    </xf>
    <xf numFmtId="3" fontId="3" fillId="0" borderId="0" xfId="61" applyNumberFormat="1" applyFont="1" applyFill="1" applyAlignment="1">
      <alignment vertical="center"/>
    </xf>
    <xf numFmtId="9" fontId="11" fillId="0" borderId="2" xfId="61" applyNumberFormat="1" applyFont="1" applyFill="1" applyBorder="1" applyAlignment="1">
      <alignment horizontal="center" vertical="center"/>
    </xf>
    <xf numFmtId="3" fontId="6" fillId="0" borderId="0" xfId="11" applyNumberFormat="1" applyFont="1" applyFill="1" applyBorder="1" applyAlignment="1">
      <alignment horizontal="center" vertical="center"/>
    </xf>
    <xf numFmtId="3" fontId="4" fillId="0" borderId="0" xfId="61" applyNumberFormat="1" applyFont="1" applyFill="1" applyAlignment="1">
      <alignment vertical="center"/>
    </xf>
    <xf numFmtId="177" fontId="4" fillId="0" borderId="0" xfId="61" applyNumberFormat="1" applyFont="1" applyFill="1" applyAlignment="1">
      <alignment horizontal="center" vertical="center"/>
    </xf>
    <xf numFmtId="177" fontId="6" fillId="0" borderId="0" xfId="61" applyNumberFormat="1" applyFont="1" applyFill="1" applyAlignment="1">
      <alignment horizontal="center" vertical="center"/>
    </xf>
    <xf numFmtId="0" fontId="6" fillId="0" borderId="0" xfId="61" applyFont="1" applyFill="1" applyAlignment="1">
      <alignment horizontal="center" vertical="center"/>
    </xf>
    <xf numFmtId="3" fontId="6" fillId="0" borderId="0" xfId="61" applyNumberFormat="1" applyFont="1" applyFill="1" applyAlignment="1">
      <alignment horizontal="center" vertical="center"/>
    </xf>
    <xf numFmtId="3" fontId="6" fillId="0" borderId="0" xfId="61" applyNumberFormat="1" applyFont="1" applyFill="1" applyAlignment="1">
      <alignment vertical="center"/>
    </xf>
    <xf numFmtId="3" fontId="7" fillId="0" borderId="0" xfId="61" applyNumberFormat="1" applyFont="1" applyFill="1" applyAlignment="1">
      <alignment vertical="center"/>
    </xf>
    <xf numFmtId="3" fontId="4" fillId="0" borderId="0" xfId="61" applyNumberFormat="1" applyFont="1" applyFill="1" applyAlignment="1">
      <alignment horizontal="center" vertical="center"/>
    </xf>
    <xf numFmtId="49" fontId="7" fillId="0" borderId="2" xfId="61" applyNumberFormat="1" applyFont="1" applyFill="1" applyBorder="1" applyAlignment="1">
      <alignment horizontal="center" vertical="center"/>
    </xf>
    <xf numFmtId="0" fontId="4" fillId="0" borderId="2" xfId="61" applyFont="1" applyFill="1" applyBorder="1" applyAlignment="1">
      <alignment horizontal="center" vertical="center"/>
    </xf>
    <xf numFmtId="0" fontId="6" fillId="0" borderId="2" xfId="61" applyFont="1" applyFill="1" applyBorder="1" applyAlignment="1">
      <alignment vertical="center"/>
    </xf>
    <xf numFmtId="177" fontId="6" fillId="2" borderId="2" xfId="61" applyNumberFormat="1" applyFont="1" applyFill="1" applyBorder="1" applyAlignment="1">
      <alignment horizontal="center" vertical="center"/>
    </xf>
    <xf numFmtId="3" fontId="16" fillId="0" borderId="0" xfId="11" applyNumberFormat="1" applyFont="1" applyFill="1" applyBorder="1" applyAlignment="1">
      <alignment horizontal="center" vertical="center"/>
    </xf>
    <xf numFmtId="9" fontId="6" fillId="0" borderId="2" xfId="61" applyNumberFormat="1" applyFont="1" applyFill="1" applyBorder="1" applyAlignment="1">
      <alignment horizontal="center" vertical="center"/>
    </xf>
    <xf numFmtId="9" fontId="6" fillId="3" borderId="2" xfId="61" applyNumberFormat="1" applyFont="1" applyFill="1" applyBorder="1" applyAlignment="1">
      <alignment horizontal="center" vertical="center"/>
    </xf>
    <xf numFmtId="0" fontId="9" fillId="0" borderId="0" xfId="63" applyAlignment="1">
      <alignment vertical="center"/>
    </xf>
    <xf numFmtId="49" fontId="9" fillId="0" borderId="0" xfId="63" applyNumberFormat="1" applyAlignment="1">
      <alignment horizontal="center"/>
    </xf>
    <xf numFmtId="0" fontId="17" fillId="0" borderId="0" xfId="63" applyFont="1" applyAlignment="1">
      <alignment horizontal="left" vertical="center"/>
    </xf>
    <xf numFmtId="0" fontId="17" fillId="0" borderId="0" xfId="63" applyFont="1" applyAlignment="1">
      <alignment horizontal="left"/>
    </xf>
    <xf numFmtId="0" fontId="9" fillId="0" borderId="0" xfId="63"/>
    <xf numFmtId="0" fontId="18" fillId="0" borderId="8" xfId="0" applyFont="1" applyBorder="1" applyAlignment="1">
      <alignment horizontal="center" vertical="center"/>
    </xf>
    <xf numFmtId="49" fontId="17" fillId="0" borderId="0" xfId="63" applyNumberFormat="1" applyFont="1" applyAlignment="1">
      <alignment horizontal="center" vertical="center"/>
    </xf>
    <xf numFmtId="0" fontId="9" fillId="0" borderId="0" xfId="63" applyBorder="1" applyAlignment="1">
      <alignment vertical="center"/>
    </xf>
    <xf numFmtId="49" fontId="17" fillId="0" borderId="0" xfId="63" applyNumberFormat="1" applyFont="1" applyBorder="1" applyAlignment="1">
      <alignment horizontal="center" vertical="center"/>
    </xf>
    <xf numFmtId="0" fontId="17" fillId="0" borderId="0" xfId="63" applyFont="1" applyBorder="1" applyAlignment="1">
      <alignment horizontal="left" vertical="center"/>
    </xf>
    <xf numFmtId="49" fontId="19" fillId="0" borderId="0" xfId="63" applyNumberFormat="1" applyFont="1" applyAlignment="1">
      <alignment horizontal="center" vertical="center"/>
    </xf>
    <xf numFmtId="0" fontId="6" fillId="0" borderId="2" xfId="61" applyFont="1" applyFill="1" applyBorder="1" applyAlignment="1" quotePrefix="1">
      <alignment horizontal="center" vertical="center"/>
    </xf>
    <xf numFmtId="0" fontId="1" fillId="0" borderId="2" xfId="61" applyFont="1" applyFill="1" applyBorder="1" applyAlignment="1" quotePrefix="1">
      <alignment horizontal="center" vertical="center"/>
    </xf>
    <xf numFmtId="0" fontId="11" fillId="0" borderId="2" xfId="61" applyFont="1" applyFill="1" applyBorder="1" applyAlignment="1" quotePrefix="1">
      <alignment horizontal="center"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常规_Book1"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西安四污二期估算2010-9-10" xfId="39"/>
    <cellStyle name="20% - 强调文字颜色 2" xfId="40" builtinId="34"/>
    <cellStyle name="40% - 强调文字颜色 2" xfId="41" builtinId="35"/>
    <cellStyle name="普通_B1 (2)" xfId="42"/>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_三污概算表" xfId="48"/>
    <cellStyle name="常规 2 2" xfId="49"/>
    <cellStyle name="百分比_西安四污二期估算2010-9-10"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Normal_Skid-FF700S" xfId="57"/>
    <cellStyle name="常规 3" xfId="58"/>
    <cellStyle name="常规 4" xfId="59"/>
    <cellStyle name="常规 5" xfId="60"/>
    <cellStyle name="常规_平安集中供热工程修订概算2003-8-12" xfId="61"/>
    <cellStyle name="千分位[0]_B1 (2)" xfId="62"/>
    <cellStyle name="常规_银川南部给水概算" xfId="63"/>
    <cellStyle name="千分位_B1 (2)" xfId="6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9579;&#21521;&#20030;\CHY\&#26472;&#20940;&#32473;&#25490;&#27700;\&#35780;&#20215;(0.1.10)\&#35780;&#20215;10.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35199;&#23433;&#19977;&#27745;\WINDOWS\Desktop\&#28205;&#28304;&#32473;&#27700;&#35780;&#202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lxfgw05\Documents\tencent%20files\1044661352\filerecv\&#27745;&#27700;&#35780;&#20215;&#65288;&#36816;&#33829;&#26399;20&#24180;&#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础数据"/>
      <sheetName val="总表"/>
      <sheetName val="固定资产投资估算表"/>
      <sheetName val="借款还本付息计算表"/>
      <sheetName val="总成本费用估算表"/>
      <sheetName val="现金流量表（全部投资）"/>
      <sheetName val="现金流量表（自有资金）"/>
      <sheetName val="损益表"/>
      <sheetName val="资金来源与运用表"/>
      <sheetName val="资产负债表"/>
      <sheetName val="流动资金估算表"/>
      <sheetName val="投资计划与资金筹措表"/>
      <sheetName val="固定资产折旧费估算表"/>
      <sheetName val="无形及递延资产摊销估算表"/>
      <sheetName val="产品销售收入和税金及附加估算表"/>
      <sheetName val="国民经济效益费用流量表（全部投资）"/>
      <sheetName val="国民经济评价销售收入调整计算表"/>
      <sheetName val="国民经济效益费用流量表（国内投资）"/>
      <sheetName val="国民经济评价投资调整计算表"/>
      <sheetName val="国民经济评价经营费用调整计算表"/>
      <sheetName val="财务敏感性分析"/>
      <sheetName val="Sheet1"/>
      <sheetName val="Sheet2"/>
      <sheetName val="现金流量表(敏感分析用 投资+20%)"/>
      <sheetName val="现金流量表(敏感分析用 投资+15%)"/>
      <sheetName val="现金流量表(敏感分析用 投资+10%)"/>
      <sheetName val="现金流量表(敏感分析用 投资+5%)"/>
      <sheetName val="现金流量表(敏感分析用 投资-5%)"/>
      <sheetName val="现金流量表(敏感分析用 投资-10%)"/>
      <sheetName val="现金流量表(敏感分析用 投资-15%)"/>
      <sheetName val="现金流量表(敏感分析用 投资-20%)"/>
      <sheetName val="现金流量表(敏感分析用 成本+20%)"/>
      <sheetName val="现金流量表(敏感分析用 成本+15%)"/>
      <sheetName val="现金流量表(敏感分析用 成本+10%)"/>
      <sheetName val="现金流量表(敏感分析用 成本+5%)"/>
      <sheetName val="现金流量表(敏感分析用 成本-5%)"/>
      <sheetName val="现金流量表(敏感分析用 成本-10%)"/>
      <sheetName val="现金流量表(敏感分析用 成本-15%)"/>
      <sheetName val="现金流量表(敏感分析用 成本-20%)"/>
      <sheetName val="现金流量表(敏感分析用 收入+20%)"/>
      <sheetName val="现金流量表(敏感分析用 收入+15%)"/>
      <sheetName val="现金流量表(敏感分析用 收入+10%)"/>
      <sheetName val="现金流量表(敏感分析用 收入+5%)"/>
      <sheetName val="现金流量表(敏感分析用 收入-5%)"/>
      <sheetName val="现金流量表(敏感分析用 收入-10%)"/>
      <sheetName val="现金流量表(敏感分析用 收入-15%)"/>
      <sheetName val="现金流量表(敏感分析用 收入-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础数据"/>
      <sheetName val="固定资产投资估算表"/>
      <sheetName val="投资计划与资金筹措表"/>
      <sheetName val="流动资金估算表"/>
      <sheetName val="总成本费用估算表"/>
      <sheetName val="借款还本付息计算表"/>
      <sheetName val="固定资产折旧费估算表"/>
      <sheetName val="无形及递延资产摊销估算表"/>
      <sheetName val="产品销售收入和税金及附加估算表"/>
      <sheetName val="现金流量表（全部投资）"/>
      <sheetName val="现金流量表（自有资金）"/>
      <sheetName val="损益表"/>
      <sheetName val="资金来源与运用表"/>
      <sheetName val="资产负债表"/>
      <sheetName val="财务敏感性分析"/>
      <sheetName val="Sheet3"/>
      <sheetName val="国民经济效益费用流量表（全部投资）"/>
      <sheetName val="国民经济评价销售收入调整计算表"/>
      <sheetName val="国民经济效益费用流量表（国内投资）"/>
      <sheetName val="国民经济评价投资调整计算表"/>
      <sheetName val="国民经济评价经营费用调整计算表"/>
      <sheetName val="Sheet1"/>
      <sheetName val="Sheet2"/>
      <sheetName val="现金流量表(敏感分析用 投资+20%)"/>
      <sheetName val="现金流量表(敏感分析用 投资+15%)"/>
      <sheetName val="现金流量表(敏感分析用 投资+10%)"/>
      <sheetName val="现金流量表(敏感分析用 投资+5%)"/>
      <sheetName val="现金流量表(敏感分析用 投资-5%)"/>
      <sheetName val="现金流量表(敏感分析用 投资-10%)"/>
      <sheetName val="现金流量表(敏感分析用 投资-15%)"/>
      <sheetName val="现金流量表(敏感分析用 投资-20%)"/>
      <sheetName val="现金流量表(敏感分析用 成本+20%)"/>
      <sheetName val="现金流量表(敏感分析用 成本+15%)"/>
      <sheetName val="现金流量表(敏感分析用 成本+10%)"/>
      <sheetName val="现金流量表(敏感分析用 成本+5%)"/>
      <sheetName val="现金流量表(敏感分析用 成本-5%)"/>
      <sheetName val="现金流量表(敏感分析用 成本-10%)"/>
      <sheetName val="现金流量表(敏感分析用 成本-15%)"/>
      <sheetName val="现金流量表(敏感分析用 成本-20%)"/>
      <sheetName val="现金流量表(敏感分析用 收入+20%)"/>
      <sheetName val="现金流量表(敏感分析用 收入+15%)"/>
      <sheetName val="现金流量表(敏感分析用 收入+10%)"/>
      <sheetName val="现金流量表(敏感分析用 收入+5%)"/>
      <sheetName val="现金流量表(敏感分析用 收入-5%)"/>
      <sheetName val="现金流量表(敏感分析用 收入-10%)"/>
      <sheetName val="现金流量表(敏感分析用 收入-15%)"/>
      <sheetName val="现金流量表(敏感分析用 收入-2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4"/>
      <sheetName val="仪表条件"/>
      <sheetName val="电气设备清单"/>
      <sheetName val="基础数据"/>
      <sheetName val="管网"/>
      <sheetName val="总表"/>
      <sheetName val="投资估算表"/>
      <sheetName val="成本表"/>
      <sheetName val="折旧费估算表"/>
      <sheetName val="摊销估算表"/>
      <sheetName val="总成本费用估算表"/>
      <sheetName val="投资计划与资金筹措表"/>
      <sheetName val="产品销售收入和税金及附加估算表"/>
      <sheetName val="利润表"/>
      <sheetName val="资产负债表"/>
      <sheetName val="资金来源与运用表"/>
      <sheetName val="借款还本付息计算表"/>
      <sheetName val="投资现金流量表"/>
      <sheetName val="资本金现金流量表"/>
      <sheetName val="财务计划现金流量表"/>
      <sheetName val="各方投资现金流量表"/>
      <sheetName val="流动资金估算表"/>
      <sheetName val="国民经济效益费用流量表（全部投资）"/>
      <sheetName val="国民经济评价销售收入调整计算表"/>
      <sheetName val="国民经济效益费用流量表（国内投资）"/>
      <sheetName val="国民经济评价投资调整计算表"/>
      <sheetName val="国民经济评价经营费用调整计算表"/>
      <sheetName val="财务敏感性分析"/>
      <sheetName val="Sheet1"/>
      <sheetName val="Sheet2"/>
      <sheetName val="盈亏平衡图"/>
      <sheetName val="现金流量表(敏感分析用 投资+20%)"/>
      <sheetName val="现金流量表(敏感分析用 投资+15%)"/>
      <sheetName val="现金流量表(敏感分析用 投资+10%)"/>
      <sheetName val="现金流量表(敏感分析用 投资+5%)"/>
      <sheetName val="现金流量表(敏感分析用 投资-5%)"/>
      <sheetName val="现金流量表(敏感分析用 投资-10%)"/>
      <sheetName val="现金流量表(敏感分析用 投资-15%)"/>
      <sheetName val="现金流量表(敏感分析用 投资-20%)"/>
      <sheetName val="现金流量表(敏感分析用 成本+20%)"/>
      <sheetName val="现金流量表(敏感分析用 成本+15%)"/>
      <sheetName val="现金流量表(敏感分析用 成本+10%)"/>
      <sheetName val="现金流量表(敏感分析用 成本+5%)"/>
      <sheetName val="现金流量表(敏感分析用 成本-5%)"/>
      <sheetName val="现金流量表(敏感分析用 成本-10%)"/>
      <sheetName val="现金流量表(敏感分析用 成本-15%)"/>
      <sheetName val="现金流量表(敏感分析用 成本-20%)"/>
      <sheetName val="现金流量表(敏感分析用 收入+20%)"/>
      <sheetName val="现金流量表(敏感分析用 收入+15%)"/>
      <sheetName val="现金流量表(敏感分析用 收入+10%)"/>
      <sheetName val="现金流量表(敏感分析用 收入+5%)"/>
      <sheetName val="现金流量表(敏感分析用 收入-5%)"/>
      <sheetName val="现金流量表(敏感分析用 收入-10%)"/>
      <sheetName val="现金流量表(敏感分析用 收入-15%)"/>
      <sheetName val="现金流量表(敏感分析用 收入-20%)"/>
    </sheetNames>
    <sheetDataSet>
      <sheetData sheetId="0"/>
      <sheetData sheetId="1"/>
      <sheetData sheetId="2"/>
      <sheetData sheetId="3"/>
      <sheetData sheetId="4"/>
      <sheetData sheetId="5"/>
      <sheetData sheetId="6">
        <row r="23">
          <cell r="F23">
            <v>14.03695874775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zoomScale="75" zoomScaleNormal="75" workbookViewId="0">
      <selection activeCell="E8" sqref="E8"/>
    </sheetView>
  </sheetViews>
  <sheetFormatPr defaultColWidth="9" defaultRowHeight="18.75"/>
  <cols>
    <col min="1" max="1" width="7.125" style="104" customWidth="1"/>
    <col min="2" max="2" width="64.625" style="105" customWidth="1"/>
    <col min="3" max="3" width="5.5" style="106" customWidth="1"/>
    <col min="4" max="16384" width="9" style="107"/>
  </cols>
  <sheetData>
    <row r="1" s="103" customFormat="1" ht="77.25" customHeight="1" spans="1:10">
      <c r="A1" s="108" t="s">
        <v>0</v>
      </c>
      <c r="B1" s="108"/>
      <c r="C1" s="108"/>
      <c r="D1"/>
      <c r="E1"/>
      <c r="F1"/>
      <c r="G1"/>
      <c r="H1"/>
      <c r="I1"/>
      <c r="J1"/>
    </row>
    <row r="2" s="103" customFormat="1" ht="35.1" customHeight="1" spans="1:3">
      <c r="A2" s="109" t="s">
        <v>1</v>
      </c>
      <c r="B2" s="105" t="s">
        <v>2</v>
      </c>
      <c r="C2" s="105">
        <v>1</v>
      </c>
    </row>
    <row r="3" s="103" customFormat="1" ht="35.1" customHeight="1" spans="1:4">
      <c r="A3" s="109" t="s">
        <v>3</v>
      </c>
      <c r="B3" s="105" t="s">
        <v>4</v>
      </c>
      <c r="C3" s="105">
        <v>3</v>
      </c>
      <c r="D3" s="110"/>
    </row>
    <row r="4" s="103" customFormat="1" ht="35.1" customHeight="1" spans="1:3">
      <c r="A4" s="109" t="s">
        <v>5</v>
      </c>
      <c r="B4" s="105" t="s">
        <v>6</v>
      </c>
      <c r="C4" s="105">
        <v>4</v>
      </c>
    </row>
    <row r="5" s="103" customFormat="1" ht="35.1" customHeight="1" spans="1:3">
      <c r="A5" s="109" t="s">
        <v>7</v>
      </c>
      <c r="B5" s="105" t="s">
        <v>8</v>
      </c>
      <c r="C5" s="105">
        <v>7</v>
      </c>
    </row>
    <row r="6" s="103" customFormat="1" ht="35.1" customHeight="1" spans="1:3">
      <c r="A6" s="109" t="s">
        <v>9</v>
      </c>
      <c r="B6" s="105" t="s">
        <v>10</v>
      </c>
      <c r="C6" s="105">
        <v>10</v>
      </c>
    </row>
    <row r="7" s="103" customFormat="1" ht="35.1" customHeight="1" spans="1:3">
      <c r="A7" s="109" t="s">
        <v>11</v>
      </c>
      <c r="B7" s="105" t="s">
        <v>12</v>
      </c>
      <c r="C7" s="105">
        <v>26</v>
      </c>
    </row>
    <row r="8" s="103" customFormat="1" ht="35.1" customHeight="1" spans="1:3">
      <c r="A8" s="109" t="s">
        <v>13</v>
      </c>
      <c r="B8" s="105" t="s">
        <v>14</v>
      </c>
      <c r="C8" s="105">
        <v>28</v>
      </c>
    </row>
    <row r="9" s="103" customFormat="1" ht="35.1" customHeight="1" spans="1:3">
      <c r="A9" s="109" t="s">
        <v>15</v>
      </c>
      <c r="B9" s="105" t="s">
        <v>16</v>
      </c>
      <c r="C9" s="105">
        <v>34</v>
      </c>
    </row>
    <row r="10" s="103" customFormat="1" ht="35.1" customHeight="1" spans="1:3">
      <c r="A10" s="109" t="s">
        <v>17</v>
      </c>
      <c r="B10" s="105" t="s">
        <v>18</v>
      </c>
      <c r="C10" s="105">
        <v>35</v>
      </c>
    </row>
    <row r="11" s="103" customFormat="1" ht="35.1" customHeight="1" spans="1:3">
      <c r="A11" s="109" t="s">
        <v>19</v>
      </c>
      <c r="B11" s="105" t="s">
        <v>20</v>
      </c>
      <c r="C11" s="105">
        <v>39</v>
      </c>
    </row>
    <row r="12" s="103" customFormat="1" ht="35.1" customHeight="1" spans="1:3">
      <c r="A12" s="109" t="s">
        <v>21</v>
      </c>
      <c r="B12" s="105" t="s">
        <v>22</v>
      </c>
      <c r="C12" s="105">
        <v>42</v>
      </c>
    </row>
    <row r="13" s="103" customFormat="1" ht="35.1" customHeight="1" spans="1:3">
      <c r="A13" s="109" t="s">
        <v>23</v>
      </c>
      <c r="B13" s="105" t="s">
        <v>24</v>
      </c>
      <c r="C13" s="105">
        <v>59</v>
      </c>
    </row>
    <row r="14" s="103" customFormat="1" ht="35.1" customHeight="1" spans="1:3">
      <c r="A14" s="109" t="s">
        <v>25</v>
      </c>
      <c r="B14" s="105" t="s">
        <v>26</v>
      </c>
      <c r="C14" s="105">
        <v>62</v>
      </c>
    </row>
    <row r="15" s="103" customFormat="1" ht="35.1" customHeight="1" spans="1:3">
      <c r="A15" s="109" t="s">
        <v>27</v>
      </c>
      <c r="B15" s="105" t="s">
        <v>28</v>
      </c>
      <c r="C15" s="105">
        <v>69</v>
      </c>
    </row>
    <row r="16" s="103" customFormat="1" ht="35.1" customHeight="1" spans="1:3">
      <c r="A16" s="109" t="s">
        <v>29</v>
      </c>
      <c r="B16" s="105" t="s">
        <v>30</v>
      </c>
      <c r="C16" s="105">
        <v>73</v>
      </c>
    </row>
    <row r="17" s="103" customFormat="1" ht="35.1" customHeight="1" spans="1:3">
      <c r="A17" s="109" t="s">
        <v>31</v>
      </c>
      <c r="B17" s="105" t="s">
        <v>32</v>
      </c>
      <c r="C17" s="105">
        <v>74</v>
      </c>
    </row>
    <row r="18" s="103" customFormat="1" ht="35.1" customHeight="1"/>
    <row r="19" s="103" customFormat="1" ht="36" customHeight="1" spans="1:3">
      <c r="A19" s="111" t="s">
        <v>33</v>
      </c>
      <c r="B19" s="112" t="s">
        <v>34</v>
      </c>
      <c r="C19" s="112">
        <v>75</v>
      </c>
    </row>
    <row r="20" s="103" customFormat="1" ht="36" customHeight="1" spans="1:3">
      <c r="A20" s="109" t="s">
        <v>35</v>
      </c>
      <c r="B20" s="105" t="s">
        <v>36</v>
      </c>
      <c r="C20" s="105">
        <v>81</v>
      </c>
    </row>
    <row r="21" s="103" customFormat="1" ht="36" customHeight="1" spans="1:3">
      <c r="A21" s="109" t="s">
        <v>37</v>
      </c>
      <c r="B21" s="105" t="s">
        <v>38</v>
      </c>
      <c r="C21" s="105">
        <v>83</v>
      </c>
    </row>
    <row r="22" s="103" customFormat="1" ht="36" customHeight="1" spans="1:3">
      <c r="A22" s="109" t="s">
        <v>39</v>
      </c>
      <c r="B22" s="105" t="s">
        <v>40</v>
      </c>
      <c r="C22" s="105">
        <v>85</v>
      </c>
    </row>
    <row r="23" s="103" customFormat="1" ht="36" customHeight="1" spans="1:3">
      <c r="A23" s="109" t="s">
        <v>41</v>
      </c>
      <c r="B23" s="105" t="s">
        <v>42</v>
      </c>
      <c r="C23" s="105">
        <v>87</v>
      </c>
    </row>
    <row r="24" s="103" customFormat="1" ht="36" customHeight="1" spans="1:3">
      <c r="A24" s="109" t="s">
        <v>43</v>
      </c>
      <c r="B24" s="105" t="s">
        <v>44</v>
      </c>
      <c r="C24" s="105">
        <v>89</v>
      </c>
    </row>
    <row r="25" s="103" customFormat="1" ht="36" customHeight="1" spans="1:3">
      <c r="A25" s="109" t="s">
        <v>45</v>
      </c>
      <c r="B25" s="105" t="s">
        <v>46</v>
      </c>
      <c r="C25" s="105">
        <v>91</v>
      </c>
    </row>
    <row r="26" s="103" customFormat="1" ht="36" customHeight="1" spans="1:3">
      <c r="A26" s="109" t="s">
        <v>47</v>
      </c>
      <c r="B26" s="105" t="s">
        <v>48</v>
      </c>
      <c r="C26" s="105">
        <v>92</v>
      </c>
    </row>
    <row r="27" s="103" customFormat="1" ht="36" customHeight="1" spans="1:3">
      <c r="A27" s="109" t="s">
        <v>49</v>
      </c>
      <c r="B27" s="105" t="s">
        <v>50</v>
      </c>
      <c r="C27" s="105">
        <v>94</v>
      </c>
    </row>
    <row r="28" s="103" customFormat="1" ht="36" customHeight="1" spans="1:3">
      <c r="A28" s="109" t="s">
        <v>51</v>
      </c>
      <c r="B28" s="105" t="s">
        <v>52</v>
      </c>
      <c r="C28" s="105">
        <v>95</v>
      </c>
    </row>
    <row r="29" s="103" customFormat="1" ht="36" customHeight="1" spans="1:3">
      <c r="A29" s="109" t="s">
        <v>53</v>
      </c>
      <c r="B29" s="105" t="s">
        <v>54</v>
      </c>
      <c r="C29" s="105">
        <v>97</v>
      </c>
    </row>
    <row r="30" s="103" customFormat="1" ht="36" customHeight="1" spans="1:3">
      <c r="A30" s="109" t="s">
        <v>55</v>
      </c>
      <c r="B30" s="105" t="s">
        <v>56</v>
      </c>
      <c r="C30" s="105">
        <v>99</v>
      </c>
    </row>
    <row r="31" s="103" customFormat="1" ht="36" customHeight="1" spans="1:3">
      <c r="A31" s="109" t="s">
        <v>57</v>
      </c>
      <c r="B31" s="105" t="s">
        <v>58</v>
      </c>
      <c r="C31" s="105">
        <v>101</v>
      </c>
    </row>
    <row r="32" s="103" customFormat="1" ht="36" customHeight="1" spans="1:3">
      <c r="A32" s="109" t="s">
        <v>59</v>
      </c>
      <c r="B32" s="105" t="s">
        <v>60</v>
      </c>
      <c r="C32" s="105">
        <v>102</v>
      </c>
    </row>
    <row r="33" s="103" customFormat="1" ht="36" customHeight="1" spans="1:3">
      <c r="A33" s="109"/>
      <c r="B33" s="105"/>
      <c r="C33" s="105"/>
    </row>
    <row r="34" s="103" customFormat="1" ht="36" customHeight="1" spans="1:3">
      <c r="A34" s="109"/>
      <c r="B34" s="105"/>
      <c r="C34" s="105"/>
    </row>
    <row r="35" s="103" customFormat="1" ht="36" customHeight="1" spans="1:3">
      <c r="A35" s="109"/>
      <c r="B35" s="105"/>
      <c r="C35" s="105"/>
    </row>
    <row r="36" s="103" customFormat="1" ht="36" customHeight="1" spans="1:3">
      <c r="A36" s="109"/>
      <c r="B36" s="105"/>
      <c r="C36" s="105"/>
    </row>
    <row r="37" s="103" customFormat="1" ht="36" customHeight="1" spans="1:3">
      <c r="A37" s="109"/>
      <c r="B37" s="105"/>
      <c r="C37" s="105"/>
    </row>
    <row r="38" s="103" customFormat="1" ht="36" customHeight="1" spans="1:3">
      <c r="A38" s="113"/>
      <c r="B38" s="105"/>
      <c r="C38" s="105"/>
    </row>
  </sheetData>
  <mergeCells count="1">
    <mergeCell ref="A1:C1"/>
  </mergeCells>
  <pageMargins left="0.748031496062992" right="0.748031496062992" top="0.984251968503937" bottom="0.984251968503937" header="0.511811023622047" footer="0.511811023622047"/>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view="pageBreakPreview" zoomScaleNormal="100" zoomScaleSheetLayoutView="100" workbookViewId="0">
      <pane ySplit="6" topLeftCell="A7" activePane="bottomLeft" state="frozen"/>
      <selection/>
      <selection pane="bottomLeft" activeCell="I14" sqref="I14"/>
    </sheetView>
  </sheetViews>
  <sheetFormatPr defaultColWidth="9" defaultRowHeight="20.1" customHeight="1"/>
  <cols>
    <col min="1" max="1" width="5.125" style="4" customWidth="1"/>
    <col min="2" max="2" width="24.125" style="4" customWidth="1"/>
    <col min="3" max="3" width="11" style="5" customWidth="1"/>
    <col min="4" max="4" width="10.75" style="5" customWidth="1"/>
    <col min="5" max="5" width="10.375" style="5" customWidth="1"/>
    <col min="6" max="6" width="10.75" style="5" customWidth="1"/>
    <col min="7" max="7" width="11" style="5" customWidth="1"/>
    <col min="8" max="8" width="7" style="5" customWidth="1"/>
    <col min="9" max="9" width="9.125" style="5" customWidth="1"/>
    <col min="10" max="10" width="9.875" style="5" customWidth="1"/>
    <col min="11" max="11" width="9" style="5"/>
    <col min="12" max="12" width="12.75" style="5" customWidth="1"/>
    <col min="13" max="13" width="11.25" style="5" customWidth="1"/>
    <col min="14" max="14" width="9.125" style="4" customWidth="1"/>
    <col min="15" max="15" width="9.375" style="4" customWidth="1"/>
    <col min="16" max="16" width="8.875" style="4" customWidth="1"/>
    <col min="17" max="17" width="6.25" style="4" customWidth="1"/>
    <col min="18" max="16384" width="9" style="4"/>
  </cols>
  <sheetData>
    <row r="1" ht="15.95" customHeight="1" spans="1:13">
      <c r="A1" s="41" t="s">
        <v>61</v>
      </c>
      <c r="B1" s="41"/>
      <c r="C1" s="41"/>
      <c r="D1" s="41"/>
      <c r="E1" s="41"/>
      <c r="F1" s="41"/>
      <c r="G1" s="41"/>
      <c r="H1" s="41"/>
      <c r="I1" s="41"/>
      <c r="J1" s="41"/>
      <c r="K1" s="41"/>
      <c r="L1" s="41"/>
      <c r="M1" s="41"/>
    </row>
    <row r="2" ht="6.75" customHeight="1" spans="1:13">
      <c r="A2" s="41"/>
      <c r="B2" s="41"/>
      <c r="C2" s="41"/>
      <c r="D2" s="41"/>
      <c r="E2" s="41"/>
      <c r="F2" s="41"/>
      <c r="G2" s="41"/>
      <c r="H2" s="41"/>
      <c r="I2" s="41"/>
      <c r="J2" s="41"/>
      <c r="K2" s="41"/>
      <c r="L2" s="41"/>
      <c r="M2" s="41"/>
    </row>
    <row r="3" ht="21" customHeight="1" spans="1:13">
      <c r="A3" s="7" t="str">
        <f>'综合估算表（污水厂）'!A3:K3</f>
        <v>建设项目名称：民乐县污水处理厂污泥处置设施建设项目</v>
      </c>
      <c r="B3" s="7"/>
      <c r="C3" s="7"/>
      <c r="D3" s="8"/>
      <c r="E3" s="8"/>
      <c r="F3" s="8"/>
      <c r="G3" s="8"/>
      <c r="H3" s="8"/>
      <c r="I3" s="8"/>
      <c r="J3" s="8"/>
      <c r="K3" s="8"/>
      <c r="L3" s="45"/>
      <c r="M3" s="45"/>
    </row>
    <row r="4" ht="15.75" customHeight="1" spans="1:13">
      <c r="A4" s="9" t="s">
        <v>62</v>
      </c>
      <c r="B4" s="10" t="s">
        <v>63</v>
      </c>
      <c r="C4" s="10" t="s">
        <v>64</v>
      </c>
      <c r="D4" s="10"/>
      <c r="E4" s="10"/>
      <c r="F4" s="10"/>
      <c r="G4" s="10"/>
      <c r="H4" s="10" t="s">
        <v>65</v>
      </c>
      <c r="I4" s="10"/>
      <c r="J4" s="10"/>
      <c r="K4" s="47" t="s">
        <v>66</v>
      </c>
      <c r="L4" s="48"/>
      <c r="M4" s="48"/>
    </row>
    <row r="5" ht="14.25" customHeight="1" spans="1:13">
      <c r="A5" s="9"/>
      <c r="B5" s="10"/>
      <c r="C5" s="9" t="s">
        <v>67</v>
      </c>
      <c r="D5" s="9" t="s">
        <v>68</v>
      </c>
      <c r="E5" s="9" t="s">
        <v>69</v>
      </c>
      <c r="F5" s="9" t="s">
        <v>70</v>
      </c>
      <c r="G5" s="9" t="s">
        <v>71</v>
      </c>
      <c r="H5" s="10" t="s">
        <v>72</v>
      </c>
      <c r="I5" s="10" t="s">
        <v>73</v>
      </c>
      <c r="J5" s="10" t="s">
        <v>74</v>
      </c>
      <c r="K5" s="50"/>
      <c r="L5" s="51"/>
      <c r="M5" s="51"/>
    </row>
    <row r="6" ht="15.75" customHeight="1" spans="1:13">
      <c r="A6" s="9"/>
      <c r="B6" s="10"/>
      <c r="C6" s="9"/>
      <c r="D6" s="9"/>
      <c r="E6" s="9"/>
      <c r="F6" s="9"/>
      <c r="G6" s="9"/>
      <c r="H6" s="10"/>
      <c r="I6" s="10"/>
      <c r="J6" s="10"/>
      <c r="K6" s="54"/>
      <c r="L6" s="51"/>
      <c r="M6" s="51"/>
    </row>
    <row r="7" ht="18" customHeight="1" spans="1:19">
      <c r="A7" s="11"/>
      <c r="B7" s="12" t="s">
        <v>75</v>
      </c>
      <c r="C7" s="13">
        <f>C11+C21+C23</f>
        <v>538.02825</v>
      </c>
      <c r="D7" s="13">
        <f>D11+D21+D23</f>
        <v>1187.8</v>
      </c>
      <c r="E7" s="13">
        <f>E11+E21+E23</f>
        <v>256.63075</v>
      </c>
      <c r="F7" s="13">
        <f>F11+F21+F23</f>
        <v>490.32695874775</v>
      </c>
      <c r="G7" s="13">
        <f>SUM(C7:F7)</f>
        <v>2472.78595874775</v>
      </c>
      <c r="H7" s="14"/>
      <c r="I7" s="63"/>
      <c r="J7" s="26"/>
      <c r="K7" s="56">
        <f>G7/G$7</f>
        <v>1</v>
      </c>
      <c r="L7" s="57">
        <v>29.66</v>
      </c>
      <c r="M7" s="57"/>
      <c r="N7" s="88"/>
      <c r="O7" s="88"/>
      <c r="P7" s="88"/>
      <c r="Q7" s="88"/>
      <c r="R7" s="88"/>
      <c r="S7" s="88"/>
    </row>
    <row r="8" ht="18" customHeight="1" spans="1:19">
      <c r="A8" s="11"/>
      <c r="B8" s="12"/>
      <c r="C8" s="15"/>
      <c r="D8" s="15"/>
      <c r="E8" s="15"/>
      <c r="F8" s="15"/>
      <c r="G8" s="15"/>
      <c r="H8" s="16"/>
      <c r="I8" s="11"/>
      <c r="J8" s="21"/>
      <c r="K8" s="56"/>
      <c r="L8" s="87"/>
      <c r="M8" s="87"/>
      <c r="N8" s="88"/>
      <c r="O8" s="88"/>
      <c r="P8" s="88"/>
      <c r="Q8" s="88"/>
      <c r="R8" s="88"/>
      <c r="S8" s="88"/>
    </row>
    <row r="9" ht="18" customHeight="1" spans="1:19">
      <c r="A9" s="11"/>
      <c r="B9" s="17" t="s">
        <v>76</v>
      </c>
      <c r="C9" s="18">
        <f>C7/$G$7</f>
        <v>0.217579790153962</v>
      </c>
      <c r="D9" s="18">
        <f>D7/$G$7</f>
        <v>0.480348893845028</v>
      </c>
      <c r="E9" s="18">
        <f>E7/$G$7</f>
        <v>0.103782031393433</v>
      </c>
      <c r="F9" s="18">
        <f>F7/$G$7</f>
        <v>0.198289284607576</v>
      </c>
      <c r="G9" s="18">
        <f>G7/$G$7</f>
        <v>1</v>
      </c>
      <c r="H9" s="14"/>
      <c r="I9" s="63"/>
      <c r="J9" s="26"/>
      <c r="K9" s="56"/>
      <c r="L9" s="87"/>
      <c r="M9" s="87"/>
      <c r="N9" s="88"/>
      <c r="O9" s="88"/>
      <c r="P9" s="88"/>
      <c r="Q9" s="88"/>
      <c r="R9" s="88"/>
      <c r="S9" s="88"/>
    </row>
    <row r="10" ht="18" customHeight="1" spans="1:19">
      <c r="A10" s="11"/>
      <c r="B10" s="17"/>
      <c r="C10" s="15"/>
      <c r="D10" s="15"/>
      <c r="E10" s="15"/>
      <c r="F10" s="15"/>
      <c r="G10" s="15"/>
      <c r="H10" s="16"/>
      <c r="I10" s="11"/>
      <c r="J10" s="21"/>
      <c r="K10" s="56"/>
      <c r="L10" s="87"/>
      <c r="M10" s="87"/>
      <c r="N10" s="88"/>
      <c r="O10" s="88"/>
      <c r="P10" s="88"/>
      <c r="Q10" s="88"/>
      <c r="R10" s="88"/>
      <c r="S10" s="88"/>
    </row>
    <row r="11" ht="18" customHeight="1" spans="1:19">
      <c r="A11" s="10"/>
      <c r="B11" s="19" t="s">
        <v>77</v>
      </c>
      <c r="C11" s="20">
        <f>C13+C15+C17</f>
        <v>538.02825</v>
      </c>
      <c r="D11" s="20">
        <f>D13+D15+D17</f>
        <v>1187.8</v>
      </c>
      <c r="E11" s="20">
        <f>E13+E15+E17</f>
        <v>256.63075</v>
      </c>
      <c r="F11" s="20">
        <f>F13+F15+F17</f>
        <v>476.29</v>
      </c>
      <c r="G11" s="13">
        <f>SUM(C11:F11)</f>
        <v>2458.749</v>
      </c>
      <c r="H11" s="14"/>
      <c r="I11" s="63"/>
      <c r="J11" s="26"/>
      <c r="K11" s="56">
        <f>G11/G$7</f>
        <v>0.99432342346571</v>
      </c>
      <c r="L11" s="87"/>
      <c r="M11" s="87"/>
      <c r="N11" s="88"/>
      <c r="O11" s="88"/>
      <c r="P11" s="88"/>
      <c r="Q11" s="88"/>
      <c r="R11" s="88"/>
      <c r="S11" s="88"/>
    </row>
    <row r="12" ht="18" customHeight="1" spans="1:19">
      <c r="A12" s="10"/>
      <c r="B12" s="19"/>
      <c r="C12" s="21"/>
      <c r="D12" s="21"/>
      <c r="E12" s="21"/>
      <c r="F12" s="21"/>
      <c r="G12" s="15"/>
      <c r="H12" s="16"/>
      <c r="I12" s="11"/>
      <c r="J12" s="21"/>
      <c r="K12" s="56"/>
      <c r="L12" s="87"/>
      <c r="M12" s="87"/>
      <c r="N12" s="88"/>
      <c r="O12" s="88"/>
      <c r="P12" s="88"/>
      <c r="Q12" s="88"/>
      <c r="R12" s="88"/>
      <c r="S12" s="88"/>
    </row>
    <row r="13" ht="18" customHeight="1" spans="1:16">
      <c r="A13" s="22" t="s">
        <v>78</v>
      </c>
      <c r="B13" s="19" t="s">
        <v>79</v>
      </c>
      <c r="C13" s="20">
        <f>'综合估算表（污水厂）'!C13</f>
        <v>538.02825</v>
      </c>
      <c r="D13" s="20">
        <f>'综合估算表（污水厂）'!D13</f>
        <v>1187.8</v>
      </c>
      <c r="E13" s="20">
        <f>'综合估算表（污水厂）'!E13</f>
        <v>256.63075</v>
      </c>
      <c r="F13" s="20">
        <f>'综合估算表（污水厂）'!F13</f>
        <v>0</v>
      </c>
      <c r="G13" s="13">
        <f>SUM(C13:F13)</f>
        <v>1982.459</v>
      </c>
      <c r="H13" s="14"/>
      <c r="I13" s="55"/>
      <c r="J13" s="26"/>
      <c r="K13" s="56">
        <f>G13/G$7</f>
        <v>0.801710715392424</v>
      </c>
      <c r="L13" s="57"/>
      <c r="M13" s="57"/>
      <c r="N13" s="61"/>
      <c r="O13" s="61"/>
      <c r="P13" s="61"/>
    </row>
    <row r="14" ht="18" customHeight="1" spans="1:20">
      <c r="A14" s="96"/>
      <c r="B14" s="19"/>
      <c r="C14" s="21"/>
      <c r="D14" s="21"/>
      <c r="E14" s="21"/>
      <c r="F14" s="97"/>
      <c r="G14" s="21"/>
      <c r="H14" s="16"/>
      <c r="I14" s="10"/>
      <c r="J14" s="21"/>
      <c r="K14" s="56"/>
      <c r="L14" s="100"/>
      <c r="M14" s="100"/>
      <c r="N14" s="75"/>
      <c r="O14" s="75"/>
      <c r="P14" s="75"/>
      <c r="Q14" s="75"/>
      <c r="R14" s="75"/>
      <c r="S14" s="75"/>
      <c r="T14" s="44"/>
    </row>
    <row r="15" ht="18" customHeight="1" spans="1:20">
      <c r="A15" s="22" t="s">
        <v>80</v>
      </c>
      <c r="B15" s="19" t="s">
        <v>81</v>
      </c>
      <c r="C15" s="21"/>
      <c r="D15" s="21"/>
      <c r="E15" s="21"/>
      <c r="F15" s="21">
        <f>'综合估算表（污水厂）'!F34</f>
        <v>299.17</v>
      </c>
      <c r="G15" s="21">
        <f>F15</f>
        <v>299.17</v>
      </c>
      <c r="H15" s="14"/>
      <c r="I15" s="63"/>
      <c r="J15" s="26"/>
      <c r="K15" s="56">
        <f>G15/G$7</f>
        <v>0.120984996271777</v>
      </c>
      <c r="L15" s="100"/>
      <c r="M15" s="100"/>
      <c r="N15" s="75"/>
      <c r="O15" s="75"/>
      <c r="P15" s="75"/>
      <c r="Q15" s="75"/>
      <c r="R15" s="75"/>
      <c r="S15" s="75"/>
      <c r="T15" s="44"/>
    </row>
    <row r="16" ht="18" customHeight="1" spans="1:19">
      <c r="A16" s="10"/>
      <c r="B16" s="98"/>
      <c r="C16" s="21"/>
      <c r="D16" s="21"/>
      <c r="E16" s="21"/>
      <c r="F16" s="21"/>
      <c r="G16" s="21"/>
      <c r="H16" s="10"/>
      <c r="I16" s="101"/>
      <c r="J16" s="10"/>
      <c r="K16" s="56"/>
      <c r="L16" s="87"/>
      <c r="M16" s="87"/>
      <c r="N16" s="88"/>
      <c r="O16" s="88"/>
      <c r="P16" s="88"/>
      <c r="Q16" s="88"/>
      <c r="R16" s="88"/>
      <c r="S16" s="88"/>
    </row>
    <row r="17" ht="18" customHeight="1" spans="1:19">
      <c r="A17" s="22" t="s">
        <v>82</v>
      </c>
      <c r="B17" s="19" t="s">
        <v>83</v>
      </c>
      <c r="C17" s="21"/>
      <c r="D17" s="21"/>
      <c r="E17" s="21"/>
      <c r="F17" s="21">
        <f>'综合估算表（污水厂）'!F57</f>
        <v>177.12</v>
      </c>
      <c r="G17" s="21">
        <f>F17</f>
        <v>177.12</v>
      </c>
      <c r="H17" s="14"/>
      <c r="I17" s="63"/>
      <c r="J17" s="26"/>
      <c r="K17" s="56">
        <f>G17/G$7</f>
        <v>0.0716277118015082</v>
      </c>
      <c r="L17" s="87"/>
      <c r="M17" s="87"/>
      <c r="N17" s="88"/>
      <c r="O17" s="88"/>
      <c r="P17" s="88"/>
      <c r="Q17" s="88"/>
      <c r="R17" s="88"/>
      <c r="S17" s="88"/>
    </row>
    <row r="18" ht="18" hidden="1" customHeight="1" spans="1:19">
      <c r="A18" s="114" t="s">
        <v>84</v>
      </c>
      <c r="B18" s="98" t="s">
        <v>85</v>
      </c>
      <c r="C18" s="21"/>
      <c r="D18" s="21"/>
      <c r="E18" s="21"/>
      <c r="F18" s="21">
        <f>'综合估算表（污水厂）'!F57</f>
        <v>177.12</v>
      </c>
      <c r="G18" s="21">
        <f>F18</f>
        <v>177.12</v>
      </c>
      <c r="H18" s="10"/>
      <c r="I18" s="102"/>
      <c r="J18" s="10"/>
      <c r="K18" s="56"/>
      <c r="L18" s="87"/>
      <c r="M18" s="87"/>
      <c r="N18" s="88"/>
      <c r="O18" s="88"/>
      <c r="P18" s="88"/>
      <c r="Q18" s="88"/>
      <c r="R18" s="88"/>
      <c r="S18" s="88"/>
    </row>
    <row r="19" ht="18" hidden="1" customHeight="1" spans="1:19">
      <c r="A19" s="114" t="s">
        <v>86</v>
      </c>
      <c r="B19" s="98" t="s">
        <v>87</v>
      </c>
      <c r="C19" s="21"/>
      <c r="D19" s="21"/>
      <c r="E19" s="21"/>
      <c r="F19" s="21">
        <f>(G13+G15)*0</f>
        <v>0</v>
      </c>
      <c r="G19" s="21">
        <f>F19</f>
        <v>0</v>
      </c>
      <c r="H19" s="10"/>
      <c r="I19" s="10"/>
      <c r="J19" s="10"/>
      <c r="K19" s="56"/>
      <c r="L19" s="87"/>
      <c r="M19" s="87"/>
      <c r="N19" s="88"/>
      <c r="O19" s="88"/>
      <c r="P19" s="88"/>
      <c r="Q19" s="88"/>
      <c r="R19" s="88"/>
      <c r="S19" s="88"/>
    </row>
    <row r="20" ht="18" customHeight="1" spans="1:19">
      <c r="A20" s="10"/>
      <c r="B20" s="98"/>
      <c r="C20" s="21"/>
      <c r="D20" s="21"/>
      <c r="E20" s="21"/>
      <c r="F20" s="21"/>
      <c r="G20" s="21"/>
      <c r="H20" s="10"/>
      <c r="I20" s="10"/>
      <c r="J20" s="10"/>
      <c r="K20" s="56"/>
      <c r="L20" s="87"/>
      <c r="M20" s="87"/>
      <c r="N20" s="88"/>
      <c r="O20" s="88"/>
      <c r="P20" s="88"/>
      <c r="Q20" s="88"/>
      <c r="R20" s="88"/>
      <c r="S20" s="88"/>
    </row>
    <row r="21" ht="18" customHeight="1" spans="1:19">
      <c r="A21" s="22" t="s">
        <v>88</v>
      </c>
      <c r="B21" s="19" t="s">
        <v>89</v>
      </c>
      <c r="C21" s="21"/>
      <c r="D21" s="21"/>
      <c r="E21" s="21"/>
      <c r="F21" s="21">
        <f>'综合估算表（污水厂）'!F60</f>
        <v>0</v>
      </c>
      <c r="G21" s="21">
        <f>F21</f>
        <v>0</v>
      </c>
      <c r="H21" s="16"/>
      <c r="I21" s="10"/>
      <c r="J21" s="21"/>
      <c r="K21" s="56">
        <f>G21/G$7</f>
        <v>0</v>
      </c>
      <c r="L21" s="87"/>
      <c r="M21" s="87"/>
      <c r="N21" s="88"/>
      <c r="O21" s="88"/>
      <c r="P21" s="88"/>
      <c r="Q21" s="88"/>
      <c r="R21" s="88"/>
      <c r="S21" s="88"/>
    </row>
    <row r="22" ht="18" customHeight="1" spans="1:19">
      <c r="A22" s="22"/>
      <c r="B22" s="19"/>
      <c r="C22" s="21"/>
      <c r="D22" s="21"/>
      <c r="E22" s="21"/>
      <c r="F22" s="21"/>
      <c r="G22" s="21"/>
      <c r="H22" s="16"/>
      <c r="I22" s="10"/>
      <c r="J22" s="21"/>
      <c r="K22" s="56"/>
      <c r="L22" s="87"/>
      <c r="M22" s="87"/>
      <c r="N22" s="88"/>
      <c r="O22" s="88"/>
      <c r="P22" s="88"/>
      <c r="Q22" s="88"/>
      <c r="R22" s="88"/>
      <c r="S22" s="88"/>
    </row>
    <row r="23" ht="18" customHeight="1" spans="1:19">
      <c r="A23" s="22" t="s">
        <v>90</v>
      </c>
      <c r="B23" s="19" t="s">
        <v>91</v>
      </c>
      <c r="C23" s="21"/>
      <c r="D23" s="21"/>
      <c r="E23" s="21"/>
      <c r="F23" s="99">
        <f>'综合估算表（污水厂）'!F62</f>
        <v>14.03695874775</v>
      </c>
      <c r="G23" s="21">
        <f>F23</f>
        <v>14.03695874775</v>
      </c>
      <c r="H23" s="14"/>
      <c r="I23" s="63"/>
      <c r="J23" s="26"/>
      <c r="K23" s="56">
        <f>G23/G$7</f>
        <v>0.00567657653429029</v>
      </c>
      <c r="L23" s="87"/>
      <c r="M23" s="87"/>
      <c r="N23" s="88"/>
      <c r="O23" s="88"/>
      <c r="P23" s="88"/>
      <c r="Q23" s="88"/>
      <c r="R23" s="88"/>
      <c r="S23" s="88"/>
    </row>
    <row r="24" customHeight="1" spans="3:19">
      <c r="C24" s="89"/>
      <c r="D24" s="89"/>
      <c r="E24" s="89"/>
      <c r="F24" s="89"/>
      <c r="G24" s="90"/>
      <c r="H24" s="91"/>
      <c r="I24" s="91"/>
      <c r="J24" s="91"/>
      <c r="K24" s="91"/>
      <c r="L24" s="92"/>
      <c r="M24" s="92"/>
      <c r="N24" s="93"/>
      <c r="O24" s="93"/>
      <c r="P24" s="94"/>
      <c r="Q24" s="88"/>
      <c r="R24" s="88"/>
      <c r="S24" s="88"/>
    </row>
    <row r="25" customHeight="1" spans="3:19">
      <c r="C25" s="89"/>
      <c r="D25" s="89"/>
      <c r="E25" s="89"/>
      <c r="F25" s="89"/>
      <c r="G25" s="90"/>
      <c r="H25" s="91"/>
      <c r="I25" s="91"/>
      <c r="J25" s="91"/>
      <c r="K25" s="91"/>
      <c r="L25" s="92"/>
      <c r="M25" s="92"/>
      <c r="N25" s="93"/>
      <c r="O25" s="93"/>
      <c r="P25" s="94"/>
      <c r="Q25" s="88"/>
      <c r="R25" s="88"/>
      <c r="S25" s="88"/>
    </row>
    <row r="26" customHeight="1" spans="7:19">
      <c r="G26" s="90"/>
      <c r="H26" s="91"/>
      <c r="I26" s="91"/>
      <c r="J26" s="91"/>
      <c r="K26" s="91"/>
      <c r="L26" s="92"/>
      <c r="M26" s="92"/>
      <c r="N26" s="93"/>
      <c r="O26" s="93"/>
      <c r="P26" s="94"/>
      <c r="Q26" s="88"/>
      <c r="R26" s="88"/>
      <c r="S26" s="88"/>
    </row>
    <row r="27" customHeight="1" spans="7:19">
      <c r="G27" s="90"/>
      <c r="H27" s="91"/>
      <c r="I27" s="91"/>
      <c r="J27" s="91"/>
      <c r="K27" s="91"/>
      <c r="L27" s="92"/>
      <c r="M27" s="92"/>
      <c r="N27" s="93"/>
      <c r="O27" s="93"/>
      <c r="P27" s="93"/>
      <c r="Q27" s="88"/>
      <c r="R27" s="88"/>
      <c r="S27" s="88"/>
    </row>
    <row r="28" customHeight="1" spans="7:19">
      <c r="G28" s="91"/>
      <c r="H28" s="91"/>
      <c r="I28" s="91"/>
      <c r="J28" s="91"/>
      <c r="K28" s="91"/>
      <c r="L28" s="92"/>
      <c r="M28" s="92"/>
      <c r="N28" s="93"/>
      <c r="O28" s="93"/>
      <c r="P28" s="93"/>
      <c r="Q28" s="88"/>
      <c r="R28" s="88"/>
      <c r="S28" s="88"/>
    </row>
    <row r="29" customHeight="1" spans="7:19">
      <c r="G29" s="91"/>
      <c r="H29" s="91"/>
      <c r="I29" s="91"/>
      <c r="J29" s="91"/>
      <c r="K29" s="91"/>
      <c r="L29" s="92"/>
      <c r="M29" s="92"/>
      <c r="N29" s="93"/>
      <c r="O29" s="93"/>
      <c r="P29" s="93"/>
      <c r="Q29" s="88"/>
      <c r="R29" s="88"/>
      <c r="S29" s="88"/>
    </row>
    <row r="30" customHeight="1" spans="7:19">
      <c r="G30" s="91"/>
      <c r="H30" s="91"/>
      <c r="I30" s="91"/>
      <c r="J30" s="91"/>
      <c r="K30" s="91"/>
      <c r="L30" s="92"/>
      <c r="M30" s="92"/>
      <c r="N30" s="93"/>
      <c r="O30" s="93"/>
      <c r="P30" s="93"/>
      <c r="Q30" s="88"/>
      <c r="R30" s="88"/>
      <c r="S30" s="88"/>
    </row>
    <row r="31" customHeight="1" spans="7:19">
      <c r="G31" s="91"/>
      <c r="H31" s="91"/>
      <c r="I31" s="91"/>
      <c r="J31" s="91"/>
      <c r="K31" s="91"/>
      <c r="L31" s="92"/>
      <c r="M31" s="92"/>
      <c r="N31" s="93"/>
      <c r="O31" s="93"/>
      <c r="P31" s="93"/>
      <c r="Q31" s="88"/>
      <c r="R31" s="88"/>
      <c r="S31" s="88"/>
    </row>
    <row r="32" customHeight="1" spans="7:19">
      <c r="G32" s="91"/>
      <c r="H32" s="91"/>
      <c r="I32" s="91"/>
      <c r="J32" s="91"/>
      <c r="K32" s="91"/>
      <c r="L32" s="92"/>
      <c r="M32" s="92"/>
      <c r="N32" s="93"/>
      <c r="O32" s="93"/>
      <c r="P32" s="93"/>
      <c r="Q32" s="88"/>
      <c r="R32" s="88"/>
      <c r="S32" s="88"/>
    </row>
    <row r="33" customHeight="1" spans="7:19">
      <c r="G33" s="91"/>
      <c r="H33" s="91"/>
      <c r="I33" s="91"/>
      <c r="J33" s="91"/>
      <c r="K33" s="91"/>
      <c r="L33" s="92"/>
      <c r="M33" s="92"/>
      <c r="N33" s="93"/>
      <c r="O33" s="93"/>
      <c r="P33" s="93"/>
      <c r="Q33" s="88"/>
      <c r="R33" s="88"/>
      <c r="S33" s="88"/>
    </row>
    <row r="34" customHeight="1" spans="7:19">
      <c r="G34" s="91"/>
      <c r="H34" s="91"/>
      <c r="I34" s="91"/>
      <c r="J34" s="91"/>
      <c r="K34" s="91"/>
      <c r="L34" s="92"/>
      <c r="M34" s="92"/>
      <c r="N34" s="93"/>
      <c r="O34" s="93"/>
      <c r="P34" s="93"/>
      <c r="Q34" s="88"/>
      <c r="R34" s="88"/>
      <c r="S34" s="88"/>
    </row>
    <row r="35" customHeight="1" spans="7:19">
      <c r="G35" s="91"/>
      <c r="H35" s="91"/>
      <c r="I35" s="91"/>
      <c r="J35" s="91"/>
      <c r="K35" s="91"/>
      <c r="L35" s="92"/>
      <c r="M35" s="92"/>
      <c r="N35" s="93"/>
      <c r="O35" s="93"/>
      <c r="P35" s="93"/>
      <c r="Q35" s="88"/>
      <c r="R35" s="88"/>
      <c r="S35" s="88"/>
    </row>
    <row r="36" customHeight="1" spans="7:19">
      <c r="G36" s="91"/>
      <c r="H36" s="91"/>
      <c r="I36" s="91"/>
      <c r="J36" s="91"/>
      <c r="K36" s="91"/>
      <c r="L36" s="92"/>
      <c r="M36" s="92"/>
      <c r="N36" s="93"/>
      <c r="O36" s="93"/>
      <c r="P36" s="93"/>
      <c r="Q36" s="88"/>
      <c r="R36" s="88"/>
      <c r="S36" s="88"/>
    </row>
    <row r="37" customHeight="1" spans="7:19">
      <c r="G37" s="91"/>
      <c r="H37" s="91"/>
      <c r="I37" s="91"/>
      <c r="J37" s="91"/>
      <c r="K37" s="91"/>
      <c r="L37" s="92"/>
      <c r="M37" s="92"/>
      <c r="N37" s="93"/>
      <c r="O37" s="93"/>
      <c r="P37" s="93"/>
      <c r="Q37" s="88"/>
      <c r="R37" s="88"/>
      <c r="S37" s="88"/>
    </row>
    <row r="38" customHeight="1" spans="7:19">
      <c r="G38" s="91"/>
      <c r="H38" s="91"/>
      <c r="I38" s="91"/>
      <c r="J38" s="91"/>
      <c r="K38" s="91"/>
      <c r="L38" s="92"/>
      <c r="M38" s="92"/>
      <c r="N38" s="93"/>
      <c r="O38" s="93"/>
      <c r="P38" s="93"/>
      <c r="Q38" s="88"/>
      <c r="R38" s="88"/>
      <c r="S38" s="88"/>
    </row>
    <row r="39" customHeight="1" spans="12:19">
      <c r="L39" s="95"/>
      <c r="M39" s="95"/>
      <c r="N39" s="88"/>
      <c r="O39" s="88"/>
      <c r="P39" s="88"/>
      <c r="Q39" s="88"/>
      <c r="R39" s="88"/>
      <c r="S39" s="88"/>
    </row>
  </sheetData>
  <mergeCells count="15">
    <mergeCell ref="A3:K3"/>
    <mergeCell ref="C4:G4"/>
    <mergeCell ref="H4:J4"/>
    <mergeCell ref="A4:A6"/>
    <mergeCell ref="B4:B6"/>
    <mergeCell ref="C5:C6"/>
    <mergeCell ref="D5:D6"/>
    <mergeCell ref="E5:E6"/>
    <mergeCell ref="F5:F6"/>
    <mergeCell ref="G5:G6"/>
    <mergeCell ref="H5:H6"/>
    <mergeCell ref="I5:I6"/>
    <mergeCell ref="J5:J6"/>
    <mergeCell ref="K4:K6"/>
    <mergeCell ref="A1:K2"/>
  </mergeCells>
  <printOptions horizontalCentered="1"/>
  <pageMargins left="0.590551181102362" right="0.590551181102362" top="0.78740157480315" bottom="0.78740157480315" header="0.511811023622047" footer="0.511811023622047"/>
  <pageSetup paperSize="9" firstPageNumber="116" orientation="landscape" blackAndWhite="1" useFirstPageNumber="1" horizontalDpi="360"/>
  <headerFooter alignWithMargins="0">
    <oddFooter>&amp;C&amp;10&amp;P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9"/>
  <sheetViews>
    <sheetView tabSelected="1" view="pageBreakPreview" zoomScaleNormal="100" zoomScaleSheetLayoutView="100" workbookViewId="0">
      <pane ySplit="6" topLeftCell="A7" activePane="bottomLeft" state="frozen"/>
      <selection/>
      <selection pane="bottomLeft" activeCell="G18" sqref="G18"/>
    </sheetView>
  </sheetViews>
  <sheetFormatPr defaultColWidth="9" defaultRowHeight="16" customHeight="1"/>
  <cols>
    <col min="1" max="1" width="7.125" style="4" customWidth="1"/>
    <col min="2" max="2" width="25.5" style="4" customWidth="1"/>
    <col min="3" max="7" width="15.625" style="5" customWidth="1"/>
    <col min="8" max="8" width="14.375" style="5" customWidth="1"/>
    <col min="9" max="9" width="14" style="5" customWidth="1"/>
    <col min="10" max="10" width="17.25" style="5" customWidth="1"/>
    <col min="11" max="11" width="10.625" style="5" customWidth="1"/>
    <col min="12" max="12" width="15.25" style="5" customWidth="1"/>
    <col min="13" max="13" width="11.25" style="5" customWidth="1"/>
    <col min="14" max="14" width="9.125" style="4" customWidth="1"/>
    <col min="15" max="15" width="9.375" style="4" customWidth="1"/>
    <col min="16" max="16" width="8.875" style="4" customWidth="1"/>
    <col min="17" max="17" width="6.25" style="4" customWidth="1"/>
    <col min="18" max="16384" width="9" style="4"/>
  </cols>
  <sheetData>
    <row r="1" customHeight="1" spans="1:13">
      <c r="A1" s="6" t="s">
        <v>92</v>
      </c>
      <c r="B1" s="6"/>
      <c r="C1" s="6"/>
      <c r="D1" s="6"/>
      <c r="E1" s="6"/>
      <c r="F1" s="6"/>
      <c r="G1" s="6"/>
      <c r="H1" s="6"/>
      <c r="I1" s="6"/>
      <c r="J1" s="6"/>
      <c r="K1" s="6"/>
      <c r="L1" s="41"/>
      <c r="M1" s="41"/>
    </row>
    <row r="2" customHeight="1" spans="1:14">
      <c r="A2" s="6"/>
      <c r="B2" s="6"/>
      <c r="C2" s="6"/>
      <c r="D2" s="6"/>
      <c r="E2" s="6"/>
      <c r="F2" s="6"/>
      <c r="G2" s="6"/>
      <c r="H2" s="6"/>
      <c r="I2" s="6"/>
      <c r="J2" s="6"/>
      <c r="K2" s="6"/>
      <c r="L2" s="42">
        <v>8529.66</v>
      </c>
      <c r="M2" s="43">
        <f>L2-G7</f>
        <v>6056.87404125225</v>
      </c>
      <c r="N2" s="44"/>
    </row>
    <row r="3" customHeight="1" spans="1:14">
      <c r="A3" s="7" t="s">
        <v>93</v>
      </c>
      <c r="B3" s="7"/>
      <c r="C3" s="7"/>
      <c r="D3" s="8"/>
      <c r="E3" s="8"/>
      <c r="F3" s="8"/>
      <c r="G3" s="8"/>
      <c r="H3" s="8"/>
      <c r="I3" s="8"/>
      <c r="J3" s="8"/>
      <c r="K3" s="8"/>
      <c r="L3" s="45"/>
      <c r="M3" s="46"/>
      <c r="N3" s="44"/>
    </row>
    <row r="4" customHeight="1" spans="1:14">
      <c r="A4" s="9" t="s">
        <v>62</v>
      </c>
      <c r="B4" s="10" t="s">
        <v>63</v>
      </c>
      <c r="C4" s="10" t="s">
        <v>64</v>
      </c>
      <c r="D4" s="10"/>
      <c r="E4" s="10"/>
      <c r="F4" s="10"/>
      <c r="G4" s="10"/>
      <c r="H4" s="10" t="s">
        <v>65</v>
      </c>
      <c r="I4" s="10"/>
      <c r="J4" s="10"/>
      <c r="K4" s="47" t="s">
        <v>66</v>
      </c>
      <c r="L4" s="48"/>
      <c r="M4" s="49"/>
      <c r="N4" s="44"/>
    </row>
    <row r="5" customHeight="1" spans="1:14">
      <c r="A5" s="9"/>
      <c r="B5" s="10"/>
      <c r="C5" s="9" t="s">
        <v>67</v>
      </c>
      <c r="D5" s="9" t="s">
        <v>68</v>
      </c>
      <c r="E5" s="9" t="s">
        <v>69</v>
      </c>
      <c r="F5" s="9" t="s">
        <v>70</v>
      </c>
      <c r="G5" s="9" t="s">
        <v>71</v>
      </c>
      <c r="H5" s="10" t="s">
        <v>94</v>
      </c>
      <c r="I5" s="10" t="s">
        <v>73</v>
      </c>
      <c r="J5" s="10" t="s">
        <v>74</v>
      </c>
      <c r="K5" s="50"/>
      <c r="L5" s="51"/>
      <c r="M5" s="52"/>
      <c r="N5" s="53">
        <f>G7-L6</f>
        <v>-4325.92404125225</v>
      </c>
    </row>
    <row r="6" customHeight="1" spans="1:14">
      <c r="A6" s="9"/>
      <c r="B6" s="10"/>
      <c r="C6" s="9"/>
      <c r="D6" s="9"/>
      <c r="E6" s="9"/>
      <c r="F6" s="9"/>
      <c r="G6" s="9"/>
      <c r="H6" s="10"/>
      <c r="I6" s="10"/>
      <c r="J6" s="10"/>
      <c r="K6" s="54"/>
      <c r="L6" s="51">
        <v>6798.71</v>
      </c>
      <c r="M6" s="52"/>
      <c r="N6" s="44"/>
    </row>
    <row r="7" ht="19" customHeight="1" spans="1:19">
      <c r="A7" s="11"/>
      <c r="B7" s="12" t="s">
        <v>75</v>
      </c>
      <c r="C7" s="13">
        <f>C11+C60+C62</f>
        <v>538.02825</v>
      </c>
      <c r="D7" s="13">
        <f>D11+D60+D62</f>
        <v>1187.8</v>
      </c>
      <c r="E7" s="13">
        <f>E11+E60+E62</f>
        <v>256.63075</v>
      </c>
      <c r="F7" s="13">
        <f>F11+F62</f>
        <v>490.32695874775</v>
      </c>
      <c r="G7" s="13">
        <f>SUM(C7:F7)</f>
        <v>2472.78595874775</v>
      </c>
      <c r="H7" s="14" t="s">
        <v>95</v>
      </c>
      <c r="I7" s="55">
        <f>I13</f>
        <v>30</v>
      </c>
      <c r="J7" s="26"/>
      <c r="K7" s="56">
        <f>G7/G$7</f>
        <v>1</v>
      </c>
      <c r="L7" s="57"/>
      <c r="M7" s="58">
        <v>2279.77</v>
      </c>
      <c r="N7" s="59"/>
      <c r="O7" s="60"/>
      <c r="P7" s="60"/>
      <c r="Q7" s="88"/>
      <c r="R7" s="88"/>
      <c r="S7" s="88"/>
    </row>
    <row r="8" ht="19" customHeight="1" spans="1:19">
      <c r="A8" s="11"/>
      <c r="B8" s="12"/>
      <c r="C8" s="15"/>
      <c r="D8" s="15"/>
      <c r="E8" s="15"/>
      <c r="F8" s="15"/>
      <c r="G8" s="15"/>
      <c r="H8" s="16"/>
      <c r="I8" s="11"/>
      <c r="J8" s="21"/>
      <c r="K8" s="56"/>
      <c r="L8" s="57"/>
      <c r="M8" s="57"/>
      <c r="N8" s="60"/>
      <c r="O8" s="60"/>
      <c r="P8" s="60"/>
      <c r="Q8" s="88"/>
      <c r="R8" s="88"/>
      <c r="S8" s="88"/>
    </row>
    <row r="9" ht="19" customHeight="1" spans="1:19">
      <c r="A9" s="11"/>
      <c r="B9" s="17" t="s">
        <v>76</v>
      </c>
      <c r="C9" s="18">
        <f>C7/$G$7</f>
        <v>0.217579790153962</v>
      </c>
      <c r="D9" s="18">
        <f>D7/$G$7</f>
        <v>0.480348893845028</v>
      </c>
      <c r="E9" s="18">
        <f>E7/$G$7</f>
        <v>0.103782031393433</v>
      </c>
      <c r="F9" s="18">
        <f>F7/$G$7</f>
        <v>0.198289284607576</v>
      </c>
      <c r="G9" s="18">
        <f>G7/$G$7</f>
        <v>1</v>
      </c>
      <c r="H9" s="14"/>
      <c r="I9" s="55"/>
      <c r="J9" s="26"/>
      <c r="K9" s="56"/>
      <c r="L9" s="57"/>
      <c r="M9" s="57">
        <v>6847.03</v>
      </c>
      <c r="N9" s="60"/>
      <c r="O9" s="60"/>
      <c r="P9" s="60"/>
      <c r="Q9" s="88"/>
      <c r="R9" s="88"/>
      <c r="S9" s="88"/>
    </row>
    <row r="10" ht="19" customHeight="1" spans="1:19">
      <c r="A10" s="11"/>
      <c r="B10" s="17"/>
      <c r="C10" s="15"/>
      <c r="D10" s="15"/>
      <c r="E10" s="15"/>
      <c r="F10" s="15"/>
      <c r="G10" s="15"/>
      <c r="H10" s="16"/>
      <c r="I10" s="11"/>
      <c r="J10" s="21"/>
      <c r="K10" s="56"/>
      <c r="L10" s="57"/>
      <c r="M10" s="57">
        <v>933.59</v>
      </c>
      <c r="N10" s="60"/>
      <c r="O10" s="60"/>
      <c r="P10" s="60"/>
      <c r="Q10" s="88"/>
      <c r="R10" s="88"/>
      <c r="S10" s="88"/>
    </row>
    <row r="11" ht="19" customHeight="1" spans="1:19">
      <c r="A11" s="10"/>
      <c r="B11" s="19" t="s">
        <v>77</v>
      </c>
      <c r="C11" s="20">
        <f>C13+C34+C56</f>
        <v>538.02825</v>
      </c>
      <c r="D11" s="20">
        <f>D13+D34+D56</f>
        <v>1187.8</v>
      </c>
      <c r="E11" s="20">
        <f>E13+E34+E56</f>
        <v>256.63075</v>
      </c>
      <c r="F11" s="20">
        <f>F13+F34+F56</f>
        <v>476.29</v>
      </c>
      <c r="G11" s="13">
        <f>SUM(C11:F11)</f>
        <v>2458.749</v>
      </c>
      <c r="H11" s="14" t="s">
        <v>95</v>
      </c>
      <c r="I11" s="55">
        <f>I13</f>
        <v>30</v>
      </c>
      <c r="J11" s="26"/>
      <c r="K11" s="56">
        <f>G11/G$7</f>
        <v>0.99432342346571</v>
      </c>
      <c r="L11" s="57"/>
      <c r="M11" s="57">
        <v>603.95</v>
      </c>
      <c r="N11" s="60"/>
      <c r="O11" s="60"/>
      <c r="P11" s="60"/>
      <c r="Q11" s="88"/>
      <c r="R11" s="88"/>
      <c r="S11" s="88"/>
    </row>
    <row r="12" ht="19" customHeight="1" spans="1:19">
      <c r="A12" s="10"/>
      <c r="B12" s="19"/>
      <c r="C12" s="21"/>
      <c r="D12" s="21"/>
      <c r="E12" s="21"/>
      <c r="F12" s="21"/>
      <c r="G12" s="15"/>
      <c r="H12" s="16"/>
      <c r="I12" s="11"/>
      <c r="J12" s="21"/>
      <c r="K12" s="56"/>
      <c r="L12" s="57"/>
      <c r="M12" s="57"/>
      <c r="N12" s="60"/>
      <c r="O12" s="60"/>
      <c r="P12" s="60"/>
      <c r="Q12" s="88"/>
      <c r="R12" s="88"/>
      <c r="S12" s="88"/>
    </row>
    <row r="13" ht="19" customHeight="1" spans="1:16">
      <c r="A13" s="22" t="s">
        <v>78</v>
      </c>
      <c r="B13" s="19" t="s">
        <v>79</v>
      </c>
      <c r="C13" s="20">
        <f>SUM(C14,C17,C20:C28)</f>
        <v>538.02825</v>
      </c>
      <c r="D13" s="20">
        <f t="shared" ref="D13:F13" si="0">SUM(D14,D17,D20:D28)</f>
        <v>1187.8</v>
      </c>
      <c r="E13" s="20">
        <f t="shared" si="0"/>
        <v>256.63075</v>
      </c>
      <c r="F13" s="20">
        <f t="shared" si="0"/>
        <v>0</v>
      </c>
      <c r="G13" s="13">
        <f>SUM(C13:F13)</f>
        <v>1982.459</v>
      </c>
      <c r="H13" s="14" t="s">
        <v>95</v>
      </c>
      <c r="I13" s="55">
        <v>30</v>
      </c>
      <c r="J13" s="26"/>
      <c r="K13" s="56">
        <f>G13/G$7</f>
        <v>0.801710715392424</v>
      </c>
      <c r="L13" s="57">
        <v>6847.03</v>
      </c>
      <c r="M13" s="57"/>
      <c r="N13" s="61"/>
      <c r="O13" s="61"/>
      <c r="P13" s="61"/>
    </row>
    <row r="14" s="1" customFormat="1" ht="19" customHeight="1" spans="1:11">
      <c r="A14" s="23" t="s">
        <v>84</v>
      </c>
      <c r="B14" s="24" t="s">
        <v>96</v>
      </c>
      <c r="C14" s="25">
        <f>SUM(C15:C16)</f>
        <v>306</v>
      </c>
      <c r="D14" s="25">
        <f t="shared" ref="D14:F14" si="1">SUM(D15:D16)</f>
        <v>42</v>
      </c>
      <c r="E14" s="25">
        <f t="shared" si="1"/>
        <v>34.8</v>
      </c>
      <c r="F14" s="25">
        <f t="shared" si="1"/>
        <v>0</v>
      </c>
      <c r="G14" s="26">
        <f>SUM(C14:F14)</f>
        <v>382.8</v>
      </c>
      <c r="H14" s="27"/>
      <c r="I14" s="27"/>
      <c r="J14" s="27"/>
      <c r="K14" s="62"/>
    </row>
    <row r="15" s="1" customFormat="1" ht="19" customHeight="1" spans="1:11">
      <c r="A15" s="23" t="s">
        <v>97</v>
      </c>
      <c r="B15" s="24" t="s">
        <v>98</v>
      </c>
      <c r="C15" s="25">
        <f>I15*J15/10000</f>
        <v>306</v>
      </c>
      <c r="D15" s="26"/>
      <c r="E15" s="26">
        <f>I15*220/10000</f>
        <v>26.4</v>
      </c>
      <c r="F15" s="26"/>
      <c r="G15" s="26">
        <f t="shared" ref="G15:G17" si="2">SUM(C15:F15)</f>
        <v>332.4</v>
      </c>
      <c r="H15" s="28" t="s">
        <v>99</v>
      </c>
      <c r="I15" s="63">
        <v>1200</v>
      </c>
      <c r="J15" s="64">
        <v>2550</v>
      </c>
      <c r="K15" s="62"/>
    </row>
    <row r="16" s="1" customFormat="1" ht="19" customHeight="1" spans="1:11">
      <c r="A16" s="23" t="s">
        <v>100</v>
      </c>
      <c r="B16" s="24" t="s">
        <v>101</v>
      </c>
      <c r="C16" s="25"/>
      <c r="D16" s="26">
        <v>42</v>
      </c>
      <c r="E16" s="26">
        <f>D16*0.2</f>
        <v>8.4</v>
      </c>
      <c r="F16" s="26"/>
      <c r="G16" s="26">
        <f t="shared" si="2"/>
        <v>50.4</v>
      </c>
      <c r="H16" s="28"/>
      <c r="I16" s="63"/>
      <c r="J16" s="64"/>
      <c r="K16" s="62"/>
    </row>
    <row r="17" s="1" customFormat="1" ht="19" customHeight="1" spans="1:11">
      <c r="A17" s="23" t="s">
        <v>86</v>
      </c>
      <c r="B17" s="24" t="s">
        <v>102</v>
      </c>
      <c r="C17" s="25">
        <f>SUM(C18:C19)</f>
        <v>35</v>
      </c>
      <c r="D17" s="25">
        <f t="shared" ref="D17:F17" si="3">SUM(D18:D19)</f>
        <v>1045</v>
      </c>
      <c r="E17" s="25">
        <f t="shared" si="3"/>
        <v>156.75</v>
      </c>
      <c r="F17" s="25">
        <f t="shared" si="3"/>
        <v>0</v>
      </c>
      <c r="G17" s="25">
        <f t="shared" si="2"/>
        <v>1236.75</v>
      </c>
      <c r="H17" s="28"/>
      <c r="I17" s="65"/>
      <c r="J17" s="66"/>
      <c r="K17" s="62"/>
    </row>
    <row r="18" s="1" customFormat="1" ht="19" customHeight="1" spans="1:11">
      <c r="A18" s="23" t="s">
        <v>5</v>
      </c>
      <c r="B18" s="24" t="s">
        <v>103</v>
      </c>
      <c r="C18" s="25">
        <f>1000*350/10000</f>
        <v>35</v>
      </c>
      <c r="D18" s="25"/>
      <c r="E18" s="26"/>
      <c r="F18" s="25"/>
      <c r="G18" s="25">
        <f t="shared" ref="G18:G20" si="4">SUM(C18:F18)</f>
        <v>35</v>
      </c>
      <c r="H18" s="28"/>
      <c r="I18" s="65"/>
      <c r="J18" s="66"/>
      <c r="K18" s="62"/>
    </row>
    <row r="19" s="1" customFormat="1" ht="19" customHeight="1" spans="1:11">
      <c r="A19" s="23" t="s">
        <v>7</v>
      </c>
      <c r="B19" s="24" t="s">
        <v>104</v>
      </c>
      <c r="C19" s="25"/>
      <c r="D19" s="25">
        <v>1045</v>
      </c>
      <c r="E19" s="26">
        <f>D19*0.15</f>
        <v>156.75</v>
      </c>
      <c r="F19" s="25"/>
      <c r="G19" s="25">
        <f t="shared" si="4"/>
        <v>1201.75</v>
      </c>
      <c r="H19" s="28"/>
      <c r="I19" s="65"/>
      <c r="J19" s="66"/>
      <c r="K19" s="62"/>
    </row>
    <row r="20" s="1" customFormat="1" ht="19" customHeight="1" spans="1:12">
      <c r="A20" s="23" t="s">
        <v>105</v>
      </c>
      <c r="B20" s="29" t="s">
        <v>106</v>
      </c>
      <c r="C20" s="25">
        <f>I20*J20/10000</f>
        <v>89.1</v>
      </c>
      <c r="D20" s="25"/>
      <c r="E20" s="25">
        <f>I20*280/10000</f>
        <v>9.072</v>
      </c>
      <c r="F20" s="25"/>
      <c r="G20" s="25">
        <f t="shared" si="4"/>
        <v>98.172</v>
      </c>
      <c r="H20" s="28" t="s">
        <v>99</v>
      </c>
      <c r="I20" s="65">
        <f>36*9</f>
        <v>324</v>
      </c>
      <c r="J20" s="66">
        <f>2750</f>
        <v>2750</v>
      </c>
      <c r="K20" s="62"/>
      <c r="L20" s="1">
        <f>31*0.3*6*4</f>
        <v>223.2</v>
      </c>
    </row>
    <row r="21" s="1" customFormat="1" ht="19" customHeight="1" spans="1:13">
      <c r="A21" s="23" t="s">
        <v>107</v>
      </c>
      <c r="B21" s="24" t="s">
        <v>108</v>
      </c>
      <c r="C21" s="25">
        <f>I21*J21/10000</f>
        <v>6.912</v>
      </c>
      <c r="D21" s="25">
        <f>16</f>
        <v>16</v>
      </c>
      <c r="E21" s="25">
        <f>D21*0.15</f>
        <v>2.4</v>
      </c>
      <c r="F21" s="25"/>
      <c r="G21" s="25">
        <f t="shared" ref="G21:G25" si="5">SUM(C21:F21)</f>
        <v>25.312</v>
      </c>
      <c r="H21" s="28" t="s">
        <v>109</v>
      </c>
      <c r="I21" s="67">
        <f>4.8*6*3</f>
        <v>86.4</v>
      </c>
      <c r="J21" s="66">
        <v>800</v>
      </c>
      <c r="K21" s="68"/>
      <c r="M21" s="69"/>
    </row>
    <row r="22" s="1" customFormat="1" ht="19" customHeight="1" spans="1:13">
      <c r="A22" s="23" t="s">
        <v>110</v>
      </c>
      <c r="B22" s="24" t="s">
        <v>111</v>
      </c>
      <c r="C22" s="25">
        <f>I22*J22/10000</f>
        <v>12</v>
      </c>
      <c r="D22" s="25">
        <f>2.8</f>
        <v>2.8</v>
      </c>
      <c r="E22" s="25">
        <f>D22*0.25</f>
        <v>0.7</v>
      </c>
      <c r="F22" s="25"/>
      <c r="G22" s="25">
        <f t="shared" si="5"/>
        <v>15.5</v>
      </c>
      <c r="H22" s="28" t="s">
        <v>99</v>
      </c>
      <c r="I22" s="67">
        <v>40</v>
      </c>
      <c r="J22" s="66">
        <v>3000</v>
      </c>
      <c r="K22" s="68"/>
      <c r="M22" s="69"/>
    </row>
    <row r="23" s="1" customFormat="1" ht="19" customHeight="1" spans="1:11">
      <c r="A23" s="23" t="s">
        <v>112</v>
      </c>
      <c r="B23" s="24" t="s">
        <v>113</v>
      </c>
      <c r="C23" s="25"/>
      <c r="D23" s="25">
        <v>60</v>
      </c>
      <c r="E23" s="25"/>
      <c r="F23" s="25"/>
      <c r="G23" s="25">
        <f t="shared" si="5"/>
        <v>60</v>
      </c>
      <c r="H23" s="28"/>
      <c r="I23" s="67"/>
      <c r="J23" s="25"/>
      <c r="K23" s="62"/>
    </row>
    <row r="24" s="1" customFormat="1" ht="19" customHeight="1" spans="1:11">
      <c r="A24" s="23" t="s">
        <v>114</v>
      </c>
      <c r="B24" s="24" t="s">
        <v>115</v>
      </c>
      <c r="C24" s="25"/>
      <c r="D24" s="25">
        <v>10</v>
      </c>
      <c r="E24" s="25">
        <f>D24*42%</f>
        <v>4.2</v>
      </c>
      <c r="F24" s="25"/>
      <c r="G24" s="25">
        <f t="shared" si="5"/>
        <v>14.2</v>
      </c>
      <c r="H24" s="28"/>
      <c r="I24" s="67"/>
      <c r="J24" s="25"/>
      <c r="K24" s="62"/>
    </row>
    <row r="25" s="1" customFormat="1" ht="19" customHeight="1" spans="1:11">
      <c r="A25" s="23" t="s">
        <v>116</v>
      </c>
      <c r="B25" s="24" t="s">
        <v>117</v>
      </c>
      <c r="C25" s="30"/>
      <c r="D25" s="25">
        <v>12</v>
      </c>
      <c r="E25" s="25">
        <f>D25*25%</f>
        <v>3</v>
      </c>
      <c r="F25" s="25"/>
      <c r="G25" s="25">
        <f t="shared" si="5"/>
        <v>15</v>
      </c>
      <c r="H25" s="28"/>
      <c r="I25" s="67"/>
      <c r="J25" s="25"/>
      <c r="K25" s="62"/>
    </row>
    <row r="26" s="1" customFormat="1" ht="19" customHeight="1" spans="1:11">
      <c r="A26" s="23" t="s">
        <v>116</v>
      </c>
      <c r="B26" s="24" t="s">
        <v>118</v>
      </c>
      <c r="C26" s="30">
        <f>I26*J26/10000</f>
        <v>0</v>
      </c>
      <c r="D26" s="25"/>
      <c r="E26" s="25"/>
      <c r="F26" s="25"/>
      <c r="G26" s="25">
        <f t="shared" ref="G26:G27" si="6">SUM(C26:F26)</f>
        <v>0</v>
      </c>
      <c r="H26" s="28" t="s">
        <v>119</v>
      </c>
      <c r="I26" s="67">
        <v>0</v>
      </c>
      <c r="J26" s="66">
        <v>300000</v>
      </c>
      <c r="K26" s="62"/>
    </row>
    <row r="27" s="2" customFormat="1" ht="19" customHeight="1" spans="1:21">
      <c r="A27" s="23" t="s">
        <v>120</v>
      </c>
      <c r="B27" s="31" t="s">
        <v>121</v>
      </c>
      <c r="C27" s="32">
        <f>I27*J27/10000</f>
        <v>26.52</v>
      </c>
      <c r="D27" s="32"/>
      <c r="E27" s="32"/>
      <c r="F27" s="32"/>
      <c r="G27" s="25">
        <f t="shared" si="6"/>
        <v>26.52</v>
      </c>
      <c r="H27" s="33" t="s">
        <v>122</v>
      </c>
      <c r="I27" s="70">
        <f>85*4</f>
        <v>340</v>
      </c>
      <c r="J27" s="32">
        <v>780</v>
      </c>
      <c r="K27" s="71"/>
      <c r="L27" s="72"/>
      <c r="M27" s="73"/>
      <c r="N27" s="74"/>
      <c r="O27" s="74"/>
      <c r="P27" s="74"/>
      <c r="Q27" s="74"/>
      <c r="R27" s="74"/>
      <c r="S27" s="74"/>
      <c r="T27" s="74"/>
      <c r="U27" s="74"/>
    </row>
    <row r="28" s="2" customFormat="1" ht="19" customHeight="1" spans="1:21">
      <c r="A28" s="23" t="s">
        <v>123</v>
      </c>
      <c r="B28" s="31" t="s">
        <v>124</v>
      </c>
      <c r="C28" s="32">
        <f>SUM(C29:C32)</f>
        <v>62.49625</v>
      </c>
      <c r="D28" s="32">
        <f>SUM(D29:D32)</f>
        <v>0</v>
      </c>
      <c r="E28" s="32">
        <f>SUM(E29:E32)</f>
        <v>45.70875</v>
      </c>
      <c r="F28" s="32">
        <f>SUM(F29:F32)</f>
        <v>0</v>
      </c>
      <c r="G28" s="32">
        <f t="shared" ref="G28" si="7">SUM(C28:F28)</f>
        <v>108.205</v>
      </c>
      <c r="H28" s="14" t="s">
        <v>99</v>
      </c>
      <c r="I28" s="32">
        <f>85*85</f>
        <v>7225</v>
      </c>
      <c r="J28" s="32">
        <f>G28/I28*10000</f>
        <v>149.764705882353</v>
      </c>
      <c r="K28" s="71"/>
      <c r="L28" s="72">
        <f>G28/I28</f>
        <v>0.0149764705882353</v>
      </c>
      <c r="M28" s="73"/>
      <c r="N28" s="74"/>
      <c r="O28" s="74"/>
      <c r="P28" s="74"/>
      <c r="Q28" s="74"/>
      <c r="R28" s="74"/>
      <c r="S28" s="74"/>
      <c r="T28" s="74"/>
      <c r="U28" s="74"/>
    </row>
    <row r="29" s="2" customFormat="1" ht="19" customHeight="1" spans="1:21">
      <c r="A29" s="34" t="s">
        <v>125</v>
      </c>
      <c r="B29" s="31" t="s">
        <v>126</v>
      </c>
      <c r="C29" s="32">
        <f>I29*260/10000</f>
        <v>37.57</v>
      </c>
      <c r="D29" s="32"/>
      <c r="E29" s="32"/>
      <c r="F29" s="32"/>
      <c r="G29" s="32">
        <f t="shared" ref="G29:G32" si="8">SUM(C29:F29)</f>
        <v>37.57</v>
      </c>
      <c r="H29" s="33" t="s">
        <v>99</v>
      </c>
      <c r="I29" s="32">
        <f>I28*0.2</f>
        <v>1445</v>
      </c>
      <c r="J29" s="32">
        <f>G29/I29*10000</f>
        <v>260</v>
      </c>
      <c r="K29" s="71"/>
      <c r="L29" s="72"/>
      <c r="M29" s="73"/>
      <c r="N29" s="74"/>
      <c r="O29" s="74"/>
      <c r="P29" s="74"/>
      <c r="Q29" s="74"/>
      <c r="R29" s="74"/>
      <c r="S29" s="74"/>
      <c r="T29" s="74"/>
      <c r="U29" s="74"/>
    </row>
    <row r="30" s="2" customFormat="1" ht="19" customHeight="1" spans="1:21">
      <c r="A30" s="34" t="s">
        <v>127</v>
      </c>
      <c r="B30" s="31" t="s">
        <v>128</v>
      </c>
      <c r="C30" s="32">
        <f>I30*J30/10000</f>
        <v>4.335</v>
      </c>
      <c r="D30" s="32"/>
      <c r="E30" s="32"/>
      <c r="F30" s="32"/>
      <c r="G30" s="32">
        <f t="shared" si="8"/>
        <v>4.335</v>
      </c>
      <c r="H30" s="33" t="s">
        <v>99</v>
      </c>
      <c r="I30" s="32">
        <f>I29*0.3</f>
        <v>433.5</v>
      </c>
      <c r="J30" s="32">
        <v>100</v>
      </c>
      <c r="K30" s="71"/>
      <c r="L30" s="72"/>
      <c r="M30" s="73"/>
      <c r="N30" s="74"/>
      <c r="O30" s="74"/>
      <c r="P30" s="74"/>
      <c r="Q30" s="74"/>
      <c r="R30" s="74"/>
      <c r="S30" s="74"/>
      <c r="T30" s="74"/>
      <c r="U30" s="74"/>
    </row>
    <row r="31" s="2" customFormat="1" ht="19" customHeight="1" spans="1:21">
      <c r="A31" s="34" t="s">
        <v>129</v>
      </c>
      <c r="B31" s="31" t="s">
        <v>130</v>
      </c>
      <c r="C31" s="32"/>
      <c r="D31" s="32"/>
      <c r="E31" s="32">
        <f>I31*J31/10000</f>
        <v>8.5</v>
      </c>
      <c r="F31" s="32"/>
      <c r="G31" s="32">
        <f t="shared" si="8"/>
        <v>8.5</v>
      </c>
      <c r="H31" s="33" t="s">
        <v>131</v>
      </c>
      <c r="I31" s="70">
        <v>10</v>
      </c>
      <c r="J31" s="32">
        <v>8500</v>
      </c>
      <c r="K31" s="71"/>
      <c r="L31" s="72"/>
      <c r="M31" s="73"/>
      <c r="N31" s="74"/>
      <c r="O31" s="74"/>
      <c r="P31" s="74"/>
      <c r="Q31" s="74"/>
      <c r="R31" s="74"/>
      <c r="S31" s="74"/>
      <c r="T31" s="74"/>
      <c r="U31" s="74"/>
    </row>
    <row r="32" s="2" customFormat="1" ht="19" customHeight="1" spans="1:21">
      <c r="A32" s="34" t="s">
        <v>132</v>
      </c>
      <c r="B32" s="31" t="s">
        <v>133</v>
      </c>
      <c r="C32" s="32">
        <f>I32*28.5/10000</f>
        <v>20.59125</v>
      </c>
      <c r="D32" s="32"/>
      <c r="E32" s="32">
        <f>I32*51.5/10000</f>
        <v>37.20875</v>
      </c>
      <c r="F32" s="32"/>
      <c r="G32" s="32">
        <f t="shared" si="8"/>
        <v>57.8</v>
      </c>
      <c r="H32" s="33" t="s">
        <v>99</v>
      </c>
      <c r="I32" s="70">
        <f>I28</f>
        <v>7225</v>
      </c>
      <c r="J32" s="32">
        <f>G32/I32*10000</f>
        <v>80</v>
      </c>
      <c r="K32" s="71"/>
      <c r="L32" s="72"/>
      <c r="M32" s="73"/>
      <c r="N32" s="74"/>
      <c r="O32" s="74"/>
      <c r="P32" s="74"/>
      <c r="Q32" s="74"/>
      <c r="R32" s="74"/>
      <c r="S32" s="74"/>
      <c r="T32" s="74"/>
      <c r="U32" s="74"/>
    </row>
    <row r="33" s="2" customFormat="1" ht="19" customHeight="1" spans="1:21">
      <c r="A33" s="34"/>
      <c r="B33" s="31"/>
      <c r="C33" s="32"/>
      <c r="D33" s="32"/>
      <c r="E33" s="32"/>
      <c r="F33" s="32"/>
      <c r="G33" s="32"/>
      <c r="H33" s="14"/>
      <c r="I33" s="70"/>
      <c r="J33" s="32"/>
      <c r="K33" s="71"/>
      <c r="L33" s="72"/>
      <c r="M33" s="73"/>
      <c r="N33" s="74"/>
      <c r="O33" s="74"/>
      <c r="P33" s="74"/>
      <c r="Q33" s="74"/>
      <c r="R33" s="74"/>
      <c r="S33" s="74"/>
      <c r="T33" s="74"/>
      <c r="U33" s="74"/>
    </row>
    <row r="34" ht="19" customHeight="1" spans="1:20">
      <c r="A34" s="22" t="s">
        <v>80</v>
      </c>
      <c r="B34" s="19" t="s">
        <v>81</v>
      </c>
      <c r="C34" s="21"/>
      <c r="D34" s="21"/>
      <c r="E34" s="21"/>
      <c r="F34" s="21">
        <f>ROUND(SUM(F35:F55),2)</f>
        <v>299.17</v>
      </c>
      <c r="G34" s="21">
        <f t="shared" ref="G34:G58" si="9">F34</f>
        <v>299.17</v>
      </c>
      <c r="H34" s="16"/>
      <c r="I34" s="10"/>
      <c r="J34" s="21"/>
      <c r="K34" s="56">
        <f>G34/G$7</f>
        <v>0.120984996271777</v>
      </c>
      <c r="L34" s="58">
        <v>933.59</v>
      </c>
      <c r="M34" s="73">
        <f>IF(G13&lt;=1000,G13*2%,IF(G13&lt;=5000,20+(G13-1000)*1.5%,IF(G13&lt;=10000,80+(G13-5000)*1.2%,IF(G13&lt;=50000,140+(G13-10000)*1%,IF(G13&lt;=100000,540+(G13-50000)*0.8%,940+(G13-100000)*0.4%)))))</f>
        <v>34.736885</v>
      </c>
      <c r="N34" s="75"/>
      <c r="O34" s="75"/>
      <c r="P34" s="75"/>
      <c r="Q34" s="75"/>
      <c r="R34" s="75"/>
      <c r="S34" s="75"/>
      <c r="T34" s="44"/>
    </row>
    <row r="35" s="2" customFormat="1" ht="19" customHeight="1" spans="1:21">
      <c r="A35" s="115" t="s">
        <v>84</v>
      </c>
      <c r="B35" s="36" t="s">
        <v>134</v>
      </c>
      <c r="C35" s="30"/>
      <c r="D35" s="30"/>
      <c r="E35" s="30"/>
      <c r="F35" s="30">
        <f>J35*I35/10000</f>
        <v>0</v>
      </c>
      <c r="G35" s="30">
        <f t="shared" si="9"/>
        <v>0</v>
      </c>
      <c r="H35" s="35" t="s">
        <v>135</v>
      </c>
      <c r="I35" s="30">
        <f>I28/666.67*0</f>
        <v>0</v>
      </c>
      <c r="J35" s="76">
        <f>30000</f>
        <v>30000</v>
      </c>
      <c r="K35" s="77"/>
      <c r="L35" s="73"/>
      <c r="M35" s="73"/>
      <c r="N35" s="74"/>
      <c r="O35" s="74"/>
      <c r="P35" s="74"/>
      <c r="Q35" s="74"/>
      <c r="R35" s="74"/>
      <c r="S35" s="74"/>
      <c r="T35" s="74"/>
      <c r="U35" s="74"/>
    </row>
    <row r="36" s="2" customFormat="1" ht="19" customHeight="1" spans="1:21">
      <c r="A36" s="115" t="s">
        <v>84</v>
      </c>
      <c r="B36" s="36" t="s">
        <v>136</v>
      </c>
      <c r="C36" s="30"/>
      <c r="D36" s="30"/>
      <c r="E36" s="30"/>
      <c r="F36" s="30">
        <f>IF(G13&lt;=1000,G13*2%,IF(G13&lt;=5000,20+(G13-1000)*1.5%,IF(G13&lt;=10000,80+(G13-5000)*1.2%,IF(G13&lt;=50000,140+(G13-10000)*1%,IF(G13&lt;=100000,540+(G13-50000)*0.8%,940+(G13-100000)*0.4%)))))</f>
        <v>34.736885</v>
      </c>
      <c r="G36" s="30">
        <f t="shared" si="9"/>
        <v>34.736885</v>
      </c>
      <c r="H36" s="35"/>
      <c r="I36" s="78" t="s">
        <v>137</v>
      </c>
      <c r="J36" s="79"/>
      <c r="K36" s="78"/>
      <c r="L36" s="73"/>
      <c r="M36" s="73"/>
      <c r="N36" s="74"/>
      <c r="O36" s="74"/>
      <c r="P36" s="74"/>
      <c r="Q36" s="74"/>
      <c r="R36" s="74"/>
      <c r="S36" s="74"/>
      <c r="T36" s="74"/>
      <c r="U36" s="74"/>
    </row>
    <row r="37" s="2" customFormat="1" ht="19" customHeight="1" spans="1:21">
      <c r="A37" s="115" t="s">
        <v>86</v>
      </c>
      <c r="B37" s="36" t="s">
        <v>138</v>
      </c>
      <c r="C37" s="30"/>
      <c r="D37" s="30"/>
      <c r="E37" s="30"/>
      <c r="F37" s="30">
        <f>IF(G13&lt;=500,16.5,IF(G13&lt;=1000,16.5+(30.1-16.5)/(1000-500)*(G13-500),IF(G13&lt;=3000,30.1+(78.1-30.1)/(3000-1000)*(G13-1000),IF(G13&lt;=5000,78.1+(120.8-78.1)/(5000-3000)*(G13-3000),IF(G13&lt;=8000,120.8+(181-120.8)/(8000-5000)*(G13-5000),IF(G13&lt;=10000,181+(218.6-181)/(10000-8000)*(G13-8000),IF(G13&lt;=20000,218.6+(393.4-218.6)/(20000-10000)*(G13-10000),IF(G13&lt;=40000,393.4+(708.2-393.4)/(40000-20000)*(G13-20000),708.2+(991.4-708.2)/(60000-40000)*(G13-40000)))))))))*0.8</f>
        <v>42.9432128</v>
      </c>
      <c r="G37" s="30">
        <f t="shared" si="9"/>
        <v>42.9432128</v>
      </c>
      <c r="H37" s="35"/>
      <c r="I37" s="78" t="s">
        <v>139</v>
      </c>
      <c r="J37" s="79"/>
      <c r="K37" s="78"/>
      <c r="L37" s="73" t="e">
        <f>F37/#REF!</f>
        <v>#REF!</v>
      </c>
      <c r="M37" s="73"/>
      <c r="N37" s="74"/>
      <c r="O37" s="74"/>
      <c r="P37" s="74"/>
      <c r="Q37" s="74"/>
      <c r="R37" s="74"/>
      <c r="S37" s="74"/>
      <c r="T37" s="74"/>
      <c r="U37" s="74"/>
    </row>
    <row r="38" s="2" customFormat="1" ht="19" customHeight="1" spans="1:21">
      <c r="A38" s="115" t="s">
        <v>105</v>
      </c>
      <c r="B38" s="36" t="s">
        <v>140</v>
      </c>
      <c r="C38" s="30"/>
      <c r="D38" s="30"/>
      <c r="E38" s="30"/>
      <c r="F38" s="30">
        <f>I38*J38/10000</f>
        <v>3.6</v>
      </c>
      <c r="G38" s="30">
        <f t="shared" si="9"/>
        <v>3.6</v>
      </c>
      <c r="H38" s="35" t="s">
        <v>141</v>
      </c>
      <c r="I38" s="80">
        <v>6</v>
      </c>
      <c r="J38" s="35">
        <v>6000</v>
      </c>
      <c r="K38" s="77"/>
      <c r="L38" s="73"/>
      <c r="M38" s="73">
        <f>20425/666.67</f>
        <v>30.6373468132659</v>
      </c>
      <c r="N38" s="74"/>
      <c r="O38" s="74"/>
      <c r="P38" s="74"/>
      <c r="Q38" s="74"/>
      <c r="R38" s="74"/>
      <c r="S38" s="74"/>
      <c r="T38" s="74"/>
      <c r="U38" s="74"/>
    </row>
    <row r="39" s="2" customFormat="1" ht="19" customHeight="1" spans="1:21">
      <c r="A39" s="115" t="s">
        <v>107</v>
      </c>
      <c r="B39" s="36" t="s">
        <v>142</v>
      </c>
      <c r="C39" s="30"/>
      <c r="D39" s="30"/>
      <c r="E39" s="30"/>
      <c r="F39" s="30">
        <f>I39*J39/10000</f>
        <v>0.6</v>
      </c>
      <c r="G39" s="30">
        <f t="shared" si="9"/>
        <v>0.6</v>
      </c>
      <c r="H39" s="35" t="s">
        <v>141</v>
      </c>
      <c r="I39" s="35">
        <v>3</v>
      </c>
      <c r="J39" s="35">
        <v>2000</v>
      </c>
      <c r="K39" s="77"/>
      <c r="L39" s="73"/>
      <c r="M39" s="73"/>
      <c r="N39" s="74"/>
      <c r="O39" s="74"/>
      <c r="P39" s="74"/>
      <c r="Q39" s="74"/>
      <c r="R39" s="74"/>
      <c r="S39" s="74"/>
      <c r="T39" s="74"/>
      <c r="U39" s="74"/>
    </row>
    <row r="40" s="2" customFormat="1" ht="19" customHeight="1" spans="1:21">
      <c r="A40" s="115" t="s">
        <v>110</v>
      </c>
      <c r="B40" s="36" t="s">
        <v>143</v>
      </c>
      <c r="C40" s="30"/>
      <c r="D40" s="30"/>
      <c r="E40" s="30"/>
      <c r="F40" s="30">
        <f>D13*I40</f>
        <v>11.878</v>
      </c>
      <c r="G40" s="30">
        <f t="shared" si="9"/>
        <v>11.878</v>
      </c>
      <c r="H40" s="35"/>
      <c r="I40" s="81">
        <v>0.01</v>
      </c>
      <c r="J40" s="35"/>
      <c r="K40" s="77"/>
      <c r="L40" s="73"/>
      <c r="M40" s="73"/>
      <c r="N40" s="74"/>
      <c r="O40" s="74"/>
      <c r="P40" s="74"/>
      <c r="Q40" s="74"/>
      <c r="R40" s="74"/>
      <c r="S40" s="74"/>
      <c r="T40" s="74"/>
      <c r="U40" s="74"/>
    </row>
    <row r="41" s="2" customFormat="1" ht="19" customHeight="1" spans="1:21">
      <c r="A41" s="115" t="s">
        <v>112</v>
      </c>
      <c r="B41" s="36" t="s">
        <v>144</v>
      </c>
      <c r="C41" s="30"/>
      <c r="D41" s="30"/>
      <c r="E41" s="30"/>
      <c r="F41" s="30">
        <f>G13*I41</f>
        <v>19.82459</v>
      </c>
      <c r="G41" s="30">
        <f t="shared" si="9"/>
        <v>19.82459</v>
      </c>
      <c r="H41" s="35"/>
      <c r="I41" s="82">
        <v>0.01</v>
      </c>
      <c r="J41" s="35"/>
      <c r="K41" s="77"/>
      <c r="L41" s="73"/>
      <c r="M41" s="73"/>
      <c r="N41" s="74"/>
      <c r="O41" s="74"/>
      <c r="P41" s="74"/>
      <c r="Q41" s="74"/>
      <c r="R41" s="74"/>
      <c r="S41" s="74"/>
      <c r="T41" s="74"/>
      <c r="U41" s="74"/>
    </row>
    <row r="42" s="2" customFormat="1" ht="19" customHeight="1" spans="1:21">
      <c r="A42" s="115" t="s">
        <v>114</v>
      </c>
      <c r="B42" s="36" t="s">
        <v>145</v>
      </c>
      <c r="C42" s="30"/>
      <c r="D42" s="30"/>
      <c r="E42" s="30"/>
      <c r="F42" s="37">
        <f>IF(G13&lt;=200,9,IF(G13&lt;=500,(G13-200)*(20.9-9)/(500-200)+9,IF(G13&lt;=1000,(G13-500)*(38.8-20.9)/(1000-500)+20.9,IF(G13&lt;=3000,(G13-1000)*(103.8-38.8)/(3000-1000)+38.8,IF(G13&lt;=5000,(G13-3000)*(163.9-103.8)/(5000-3000)+103.8,IF(G13&lt;=8000,(G13-5000)*(249.6-163.9)/(8000-5000)+163.9,IF(G13&lt;=10000,(G13-8000)*(304.8-249.6)/(10000-8000)+249.6,IF(G13&lt;=20000,(G13-10000)*(566.8-304.8)/(20000-10000)+304.8,"超出2亿请检查公式"))))))))*1.15</f>
        <v>81.339405125</v>
      </c>
      <c r="G42" s="30">
        <f t="shared" si="9"/>
        <v>81.339405125</v>
      </c>
      <c r="H42" s="35"/>
      <c r="I42" s="78" t="s">
        <v>146</v>
      </c>
      <c r="J42" s="79"/>
      <c r="K42" s="77"/>
      <c r="L42" s="73"/>
      <c r="M42" s="73"/>
      <c r="N42" s="74"/>
      <c r="O42" s="74"/>
      <c r="P42" s="74"/>
      <c r="Q42" s="74"/>
      <c r="R42" s="74"/>
      <c r="S42" s="74"/>
      <c r="T42" s="74"/>
      <c r="U42" s="74"/>
    </row>
    <row r="43" s="2" customFormat="1" ht="19" customHeight="1" spans="1:21">
      <c r="A43" s="115" t="s">
        <v>116</v>
      </c>
      <c r="B43" s="36" t="s">
        <v>147</v>
      </c>
      <c r="C43" s="30"/>
      <c r="D43" s="30"/>
      <c r="E43" s="30"/>
      <c r="F43" s="30">
        <f>F42*8%</f>
        <v>6.50715241</v>
      </c>
      <c r="G43" s="30">
        <f t="shared" si="9"/>
        <v>6.50715241</v>
      </c>
      <c r="H43" s="35"/>
      <c r="I43" s="78" t="s">
        <v>146</v>
      </c>
      <c r="J43" s="79"/>
      <c r="K43" s="78"/>
      <c r="L43" s="73"/>
      <c r="M43" s="73"/>
      <c r="N43" s="74"/>
      <c r="O43" s="74"/>
      <c r="P43" s="74"/>
      <c r="Q43" s="74"/>
      <c r="R43" s="74"/>
      <c r="S43" s="74"/>
      <c r="T43" s="74"/>
      <c r="U43" s="74"/>
    </row>
    <row r="44" s="2" customFormat="1" ht="19" customHeight="1" spans="1:21">
      <c r="A44" s="115" t="s">
        <v>120</v>
      </c>
      <c r="B44" s="36" t="s">
        <v>148</v>
      </c>
      <c r="C44" s="30"/>
      <c r="D44" s="30"/>
      <c r="E44" s="30"/>
      <c r="F44" s="30">
        <f>F42*10%</f>
        <v>8.1339405125</v>
      </c>
      <c r="G44" s="30">
        <f t="shared" si="9"/>
        <v>8.1339405125</v>
      </c>
      <c r="H44" s="35"/>
      <c r="I44" s="78" t="s">
        <v>146</v>
      </c>
      <c r="J44" s="79"/>
      <c r="K44" s="78"/>
      <c r="L44" s="73"/>
      <c r="M44" s="73"/>
      <c r="N44" s="74"/>
      <c r="O44" s="74"/>
      <c r="P44" s="74"/>
      <c r="Q44" s="74"/>
      <c r="R44" s="74"/>
      <c r="S44" s="74"/>
      <c r="T44" s="74"/>
      <c r="U44" s="74"/>
    </row>
    <row r="45" s="2" customFormat="1" ht="19" customHeight="1" spans="1:21">
      <c r="A45" s="115" t="s">
        <v>123</v>
      </c>
      <c r="B45" s="36" t="s">
        <v>149</v>
      </c>
      <c r="C45" s="30"/>
      <c r="D45" s="30"/>
      <c r="E45" s="30"/>
      <c r="F45" s="30">
        <f>IF(G13&lt;=500,G13*3%,IF(G13&lt;=1000,500*3%+(G13-500)*2.3%,IF(G13&lt;=5000,500*3%+500*2.3%+(G13-1000)*1.5%,IF(G13&lt;=10000,500*3%+500*2.3%+4000*1.5%+(G13-5000)*1.2%,IF(G13&lt;=50000,500*3%+500*2.3%+4000*1.5%+5000*1.2%+(G13-10000)*0.8%,IF(G13&lt;=100000,500*3%+500*2.3%+4000*1.5%+5000*1.2%+40000*0.8%+(G13-50000)*0.5%,500*3%+500*2.3%+4000*1.5%+5000*1.2%+40000*0.8%+50000*0.5%+(G13-100000)*0.4%))))))/10</f>
        <v>4.1236885</v>
      </c>
      <c r="G45" s="30">
        <f t="shared" si="9"/>
        <v>4.1236885</v>
      </c>
      <c r="H45" s="35"/>
      <c r="I45" s="78" t="s">
        <v>150</v>
      </c>
      <c r="J45" s="79"/>
      <c r="K45" s="78"/>
      <c r="L45" s="73"/>
      <c r="M45" s="73"/>
      <c r="N45" s="74"/>
      <c r="O45" s="74"/>
      <c r="P45" s="74"/>
      <c r="Q45" s="74"/>
      <c r="R45" s="74"/>
      <c r="S45" s="74"/>
      <c r="T45" s="74"/>
      <c r="U45" s="74"/>
    </row>
    <row r="46" s="2" customFormat="1" ht="19" customHeight="1" spans="1:21">
      <c r="A46" s="115" t="s">
        <v>151</v>
      </c>
      <c r="B46" s="36" t="s">
        <v>152</v>
      </c>
      <c r="C46" s="30"/>
      <c r="D46" s="30"/>
      <c r="E46" s="30"/>
      <c r="F46" s="37">
        <f>IF(G13&lt;3000,27/3000*G13,IF(G13&lt;10000,27+(60-27)/(10000-3000)*(G13-3000),IF(G13&lt;50000,60+(139-60)/(50000-10000)*(G13-10000),IF(G13&lt;100000,139+(200-139)/(100000-50000)*(G13-50000),IF(G13&lt;500000,200+(342-200)/(500000-100000)*(G13-100000))))))*0.7*1.2</f>
        <v>14.98739004</v>
      </c>
      <c r="G46" s="30">
        <f t="shared" si="9"/>
        <v>14.98739004</v>
      </c>
      <c r="H46" s="35"/>
      <c r="I46" s="78" t="s">
        <v>153</v>
      </c>
      <c r="J46" s="79"/>
      <c r="K46" s="78"/>
      <c r="L46" s="73"/>
      <c r="M46" s="73"/>
      <c r="N46" s="74"/>
      <c r="O46" s="74"/>
      <c r="P46" s="74"/>
      <c r="Q46" s="74"/>
      <c r="R46" s="74"/>
      <c r="S46" s="74"/>
      <c r="T46" s="74"/>
      <c r="U46" s="74"/>
    </row>
    <row r="47" s="2" customFormat="1" ht="19" customHeight="1" spans="1:21">
      <c r="A47" s="115" t="s">
        <v>154</v>
      </c>
      <c r="B47" s="36" t="s">
        <v>155</v>
      </c>
      <c r="C47" s="30"/>
      <c r="D47" s="30"/>
      <c r="E47" s="30"/>
      <c r="F47" s="30">
        <f>IF(G13&lt;=100,G13*1%,IF(G13&lt;=500,1+(G13-100)*0.7%,IF(G13&lt;=1000,1+2.8+(G13-500)*0.55%,IF(G13&lt;=5000,1+2.8+2.75+(G13-1000)*0.35%,IF(G13&lt;=10000,1+2.8+2.75+14+(G13-5000)*0.2%,IF(G13&lt;=50000,1+2.8+2.75+14+10+(G13-10000)*0.05%,1+2.8+2.75+14+10+20+(G13-50000)*0.035%))))))</f>
        <v>9.9886065</v>
      </c>
      <c r="G47" s="30">
        <f t="shared" si="9"/>
        <v>9.9886065</v>
      </c>
      <c r="H47" s="35"/>
      <c r="I47" s="78" t="s">
        <v>156</v>
      </c>
      <c r="J47" s="79"/>
      <c r="K47" s="78"/>
      <c r="L47" s="73"/>
      <c r="M47" s="73"/>
      <c r="N47" s="74"/>
      <c r="O47" s="74"/>
      <c r="P47" s="74"/>
      <c r="Q47" s="74"/>
      <c r="R47" s="74"/>
      <c r="S47" s="74"/>
      <c r="T47" s="74"/>
      <c r="U47" s="74"/>
    </row>
    <row r="48" s="2" customFormat="1" ht="19" customHeight="1" spans="1:21">
      <c r="A48" s="115" t="s">
        <v>157</v>
      </c>
      <c r="B48" s="36" t="s">
        <v>158</v>
      </c>
      <c r="C48" s="30"/>
      <c r="D48" s="30"/>
      <c r="E48" s="30"/>
      <c r="F48" s="30">
        <f>G13*I48</f>
        <v>5.947377</v>
      </c>
      <c r="G48" s="30">
        <f t="shared" si="9"/>
        <v>5.947377</v>
      </c>
      <c r="H48" s="35"/>
      <c r="I48" s="83">
        <v>0.003</v>
      </c>
      <c r="J48" s="35"/>
      <c r="K48" s="77"/>
      <c r="L48" s="73"/>
      <c r="M48" s="73"/>
      <c r="N48" s="74"/>
      <c r="O48" s="74"/>
      <c r="P48" s="74"/>
      <c r="Q48" s="74"/>
      <c r="R48" s="74"/>
      <c r="S48" s="74"/>
      <c r="T48" s="74"/>
      <c r="U48" s="74"/>
    </row>
    <row r="49" s="2" customFormat="1" ht="19" customHeight="1" spans="1:21">
      <c r="A49" s="115" t="s">
        <v>159</v>
      </c>
      <c r="B49" s="36" t="s">
        <v>160</v>
      </c>
      <c r="C49" s="30"/>
      <c r="D49" s="30"/>
      <c r="E49" s="30"/>
      <c r="F49" s="30">
        <f>G13*I49</f>
        <v>7.929836</v>
      </c>
      <c r="G49" s="30">
        <f t="shared" si="9"/>
        <v>7.929836</v>
      </c>
      <c r="H49" s="35"/>
      <c r="I49" s="83">
        <v>0.004</v>
      </c>
      <c r="J49" s="35"/>
      <c r="K49" s="77"/>
      <c r="L49" s="73"/>
      <c r="M49" s="73"/>
      <c r="N49" s="74"/>
      <c r="O49" s="74"/>
      <c r="P49" s="74"/>
      <c r="Q49" s="74"/>
      <c r="R49" s="74"/>
      <c r="S49" s="74"/>
      <c r="T49" s="74"/>
      <c r="U49" s="74"/>
    </row>
    <row r="50" s="2" customFormat="1" ht="19" customHeight="1" spans="1:21">
      <c r="A50" s="115" t="s">
        <v>161</v>
      </c>
      <c r="B50" s="36" t="s">
        <v>162</v>
      </c>
      <c r="C50" s="30"/>
      <c r="D50" s="30"/>
      <c r="E50" s="30"/>
      <c r="F50" s="30">
        <f>G13*I50</f>
        <v>9.912295</v>
      </c>
      <c r="G50" s="30">
        <f t="shared" si="9"/>
        <v>9.912295</v>
      </c>
      <c r="H50" s="35"/>
      <c r="I50" s="83">
        <v>0.005</v>
      </c>
      <c r="J50" s="35"/>
      <c r="K50" s="77"/>
      <c r="L50" s="73"/>
      <c r="M50" s="73"/>
      <c r="N50" s="74"/>
      <c r="O50" s="74"/>
      <c r="P50" s="74"/>
      <c r="Q50" s="74"/>
      <c r="R50" s="74"/>
      <c r="S50" s="74"/>
      <c r="T50" s="74"/>
      <c r="U50" s="74"/>
    </row>
    <row r="51" s="2" customFormat="1" ht="19" customHeight="1" spans="1:21">
      <c r="A51" s="115" t="s">
        <v>163</v>
      </c>
      <c r="B51" s="36" t="s">
        <v>164</v>
      </c>
      <c r="C51" s="30"/>
      <c r="D51" s="30"/>
      <c r="E51" s="30"/>
      <c r="F51" s="30">
        <v>3</v>
      </c>
      <c r="G51" s="30">
        <f t="shared" si="9"/>
        <v>3</v>
      </c>
      <c r="H51" s="35"/>
      <c r="I51" s="83"/>
      <c r="J51" s="35"/>
      <c r="K51" s="77"/>
      <c r="L51" s="73"/>
      <c r="M51" s="73"/>
      <c r="N51" s="74"/>
      <c r="O51" s="74"/>
      <c r="P51" s="74"/>
      <c r="Q51" s="74"/>
      <c r="R51" s="74"/>
      <c r="S51" s="74"/>
      <c r="T51" s="74"/>
      <c r="U51" s="74"/>
    </row>
    <row r="52" s="2" customFormat="1" ht="19" customHeight="1" spans="1:21">
      <c r="A52" s="115" t="s">
        <v>165</v>
      </c>
      <c r="B52" s="36" t="s">
        <v>166</v>
      </c>
      <c r="C52" s="30"/>
      <c r="D52" s="30"/>
      <c r="E52" s="30"/>
      <c r="F52" s="30">
        <f>3*40%+1*40%+0.8*40%</f>
        <v>1.92</v>
      </c>
      <c r="G52" s="30">
        <f t="shared" si="9"/>
        <v>1.92</v>
      </c>
      <c r="H52" s="35"/>
      <c r="I52" s="83"/>
      <c r="J52" s="35"/>
      <c r="K52" s="77"/>
      <c r="L52" s="73"/>
      <c r="M52" s="73"/>
      <c r="N52" s="74"/>
      <c r="O52" s="74"/>
      <c r="P52" s="74"/>
      <c r="Q52" s="74"/>
      <c r="R52" s="74"/>
      <c r="S52" s="74"/>
      <c r="T52" s="74"/>
      <c r="U52" s="74"/>
    </row>
    <row r="53" s="3" customFormat="1" ht="19" customHeight="1" spans="1:19">
      <c r="A53" s="115" t="s">
        <v>167</v>
      </c>
      <c r="B53" s="38" t="s">
        <v>168</v>
      </c>
      <c r="C53" s="39"/>
      <c r="D53" s="39"/>
      <c r="E53" s="39"/>
      <c r="F53" s="39">
        <f>IF(G13&lt;3000,4+(4.8-4)/3000*G13,IF(G13&lt;20000,4.8+(12-4.8)/(20000-3000)*(G13-3000),IF(G13&lt;100000,12+(30-12)/(100000-20000)*(G13-20000),IF(G13&lt;500000,20+(60-30)/(500000-100000)*(G13-100000),IF(G13&lt;1000000,60+(90-60)/(1000000-500000)*(G13-500000))))))*1.5</f>
        <v>6.7929836</v>
      </c>
      <c r="G53" s="39">
        <f t="shared" si="9"/>
        <v>6.7929836</v>
      </c>
      <c r="H53" s="40"/>
      <c r="I53" s="78" t="s">
        <v>169</v>
      </c>
      <c r="J53" s="79"/>
      <c r="K53" s="78"/>
      <c r="L53" s="84"/>
      <c r="M53" s="84"/>
      <c r="N53" s="85"/>
      <c r="O53" s="85"/>
      <c r="P53" s="85"/>
      <c r="Q53" s="85"/>
      <c r="R53" s="85"/>
      <c r="S53" s="85"/>
    </row>
    <row r="54" s="3" customFormat="1" ht="19" customHeight="1" spans="1:19">
      <c r="A54" s="115" t="s">
        <v>170</v>
      </c>
      <c r="B54" s="38"/>
      <c r="C54" s="39"/>
      <c r="D54" s="39"/>
      <c r="E54" s="39"/>
      <c r="F54" s="39"/>
      <c r="G54" s="39">
        <f t="shared" si="9"/>
        <v>0</v>
      </c>
      <c r="H54" s="40"/>
      <c r="I54" s="86"/>
      <c r="J54" s="40"/>
      <c r="K54" s="62"/>
      <c r="L54" s="84"/>
      <c r="M54" s="84"/>
      <c r="N54" s="85"/>
      <c r="O54" s="85"/>
      <c r="P54" s="85"/>
      <c r="Q54" s="85"/>
      <c r="R54" s="85"/>
      <c r="S54" s="85"/>
    </row>
    <row r="55" s="3" customFormat="1" ht="19" customHeight="1" spans="1:19">
      <c r="A55" s="115" t="s">
        <v>171</v>
      </c>
      <c r="B55" s="38" t="s">
        <v>172</v>
      </c>
      <c r="C55" s="39"/>
      <c r="D55" s="39"/>
      <c r="E55" s="39"/>
      <c r="F55" s="39">
        <v>25</v>
      </c>
      <c r="G55" s="39">
        <f t="shared" si="9"/>
        <v>25</v>
      </c>
      <c r="H55" s="40"/>
      <c r="I55" s="86"/>
      <c r="J55" s="40"/>
      <c r="K55" s="62"/>
      <c r="L55" s="84"/>
      <c r="M55" s="84"/>
      <c r="N55" s="85"/>
      <c r="O55" s="85"/>
      <c r="P55" s="85"/>
      <c r="Q55" s="85"/>
      <c r="R55" s="85"/>
      <c r="S55" s="85"/>
    </row>
    <row r="56" ht="19" customHeight="1" spans="1:19">
      <c r="A56" s="22" t="s">
        <v>82</v>
      </c>
      <c r="B56" s="19" t="s">
        <v>83</v>
      </c>
      <c r="C56" s="21"/>
      <c r="D56" s="21"/>
      <c r="E56" s="21"/>
      <c r="F56" s="21">
        <f>SUM(F57:F58)</f>
        <v>177.12</v>
      </c>
      <c r="G56" s="21">
        <f t="shared" si="9"/>
        <v>177.12</v>
      </c>
      <c r="H56" s="16"/>
      <c r="I56" s="10"/>
      <c r="J56" s="21"/>
      <c r="K56" s="56">
        <f>G56/G$7</f>
        <v>0.0716277118015082</v>
      </c>
      <c r="L56" s="57">
        <v>603.95</v>
      </c>
      <c r="M56" s="87"/>
      <c r="N56" s="88"/>
      <c r="O56" s="88"/>
      <c r="P56" s="88"/>
      <c r="Q56" s="88"/>
      <c r="R56" s="88"/>
      <c r="S56" s="88"/>
    </row>
    <row r="57" s="3" customFormat="1" ht="19" customHeight="1" spans="1:19">
      <c r="A57" s="116" t="s">
        <v>84</v>
      </c>
      <c r="B57" s="38" t="s">
        <v>85</v>
      </c>
      <c r="C57" s="39"/>
      <c r="D57" s="39"/>
      <c r="E57" s="39"/>
      <c r="F57" s="39">
        <f>ROUND((G13+G34)*I57,2)+0.02</f>
        <v>177.12</v>
      </c>
      <c r="G57" s="39">
        <f t="shared" si="9"/>
        <v>177.12</v>
      </c>
      <c r="H57" s="40"/>
      <c r="I57" s="86">
        <v>0.07762</v>
      </c>
      <c r="J57" s="40"/>
      <c r="K57" s="62"/>
      <c r="L57" s="84"/>
      <c r="M57" s="84"/>
      <c r="N57" s="85"/>
      <c r="O57" s="85"/>
      <c r="P57" s="85"/>
      <c r="Q57" s="85"/>
      <c r="R57" s="85"/>
      <c r="S57" s="85"/>
    </row>
    <row r="58" s="3" customFormat="1" ht="19" customHeight="1" spans="1:19">
      <c r="A58" s="116" t="s">
        <v>86</v>
      </c>
      <c r="B58" s="38" t="s">
        <v>87</v>
      </c>
      <c r="C58" s="39"/>
      <c r="D58" s="39"/>
      <c r="E58" s="39"/>
      <c r="F58" s="39">
        <f>(G13+G34)*0</f>
        <v>0</v>
      </c>
      <c r="G58" s="39">
        <f t="shared" si="9"/>
        <v>0</v>
      </c>
      <c r="H58" s="40"/>
      <c r="I58" s="40"/>
      <c r="J58" s="40"/>
      <c r="K58" s="62"/>
      <c r="L58" s="84"/>
      <c r="M58" s="84"/>
      <c r="N58" s="85"/>
      <c r="O58" s="85"/>
      <c r="P58" s="85"/>
      <c r="Q58" s="85"/>
      <c r="R58" s="85"/>
      <c r="S58" s="85"/>
    </row>
    <row r="59" s="3" customFormat="1" ht="19" customHeight="1" spans="1:19">
      <c r="A59" s="40"/>
      <c r="B59" s="38"/>
      <c r="C59" s="39"/>
      <c r="D59" s="39"/>
      <c r="E59" s="39"/>
      <c r="F59" s="39"/>
      <c r="G59" s="39"/>
      <c r="H59" s="40"/>
      <c r="I59" s="40"/>
      <c r="J59" s="40"/>
      <c r="K59" s="62"/>
      <c r="L59" s="84"/>
      <c r="M59" s="84"/>
      <c r="N59" s="85"/>
      <c r="O59" s="85"/>
      <c r="P59" s="85"/>
      <c r="Q59" s="85"/>
      <c r="R59" s="85"/>
      <c r="S59" s="85"/>
    </row>
    <row r="60" ht="19" customHeight="1" spans="1:19">
      <c r="A60" s="22" t="s">
        <v>88</v>
      </c>
      <c r="B60" s="19" t="s">
        <v>89</v>
      </c>
      <c r="C60" s="21"/>
      <c r="D60" s="21"/>
      <c r="E60" s="21"/>
      <c r="F60" s="21">
        <v>0</v>
      </c>
      <c r="G60" s="21">
        <f>F60</f>
        <v>0</v>
      </c>
      <c r="H60" s="16"/>
      <c r="I60" s="10"/>
      <c r="J60" s="21"/>
      <c r="K60" s="56"/>
      <c r="L60" s="87"/>
      <c r="M60" s="87"/>
      <c r="N60" s="88"/>
      <c r="O60" s="88"/>
      <c r="P60" s="88"/>
      <c r="Q60" s="88"/>
      <c r="R60" s="88"/>
      <c r="S60" s="88"/>
    </row>
    <row r="61" ht="19" customHeight="1" spans="1:19">
      <c r="A61" s="22"/>
      <c r="B61" s="19"/>
      <c r="C61" s="21"/>
      <c r="D61" s="21"/>
      <c r="E61" s="21"/>
      <c r="F61" s="21"/>
      <c r="G61" s="21"/>
      <c r="H61" s="16"/>
      <c r="I61" s="10"/>
      <c r="J61" s="21"/>
      <c r="K61" s="56"/>
      <c r="L61" s="87"/>
      <c r="M61" s="87"/>
      <c r="N61" s="88"/>
      <c r="O61" s="88"/>
      <c r="P61" s="88"/>
      <c r="Q61" s="88"/>
      <c r="R61" s="88"/>
      <c r="S61" s="88"/>
    </row>
    <row r="62" ht="19" customHeight="1" spans="1:19">
      <c r="A62" s="22" t="s">
        <v>90</v>
      </c>
      <c r="B62" s="19" t="s">
        <v>91</v>
      </c>
      <c r="C62" s="21"/>
      <c r="D62" s="21"/>
      <c r="E62" s="21"/>
      <c r="F62" s="21">
        <f>[3]投资估算表!$F$23</f>
        <v>14.03695874775</v>
      </c>
      <c r="G62" s="21">
        <f>F62</f>
        <v>14.03695874775</v>
      </c>
      <c r="H62" s="16"/>
      <c r="I62" s="10"/>
      <c r="J62" s="21"/>
      <c r="K62" s="56">
        <f>G62/G$7</f>
        <v>0.00567657653429029</v>
      </c>
      <c r="L62" s="87"/>
      <c r="M62" s="87"/>
      <c r="N62" s="88"/>
      <c r="O62" s="88"/>
      <c r="P62" s="88"/>
      <c r="Q62" s="88"/>
      <c r="R62" s="88"/>
      <c r="S62" s="88"/>
    </row>
    <row r="63" customHeight="1" spans="1:19">
      <c r="A63" s="22"/>
      <c r="B63" s="19"/>
      <c r="C63" s="21"/>
      <c r="D63" s="21"/>
      <c r="E63" s="21"/>
      <c r="F63" s="21"/>
      <c r="G63" s="21"/>
      <c r="H63" s="16"/>
      <c r="I63" s="10"/>
      <c r="J63" s="21"/>
      <c r="K63" s="56"/>
      <c r="L63" s="87"/>
      <c r="M63" s="87"/>
      <c r="N63" s="88"/>
      <c r="O63" s="88"/>
      <c r="P63" s="88"/>
      <c r="Q63" s="88"/>
      <c r="R63" s="88"/>
      <c r="S63" s="88"/>
    </row>
    <row r="64" customHeight="1" spans="1:19">
      <c r="A64" s="22"/>
      <c r="B64" s="19"/>
      <c r="C64" s="21"/>
      <c r="D64" s="21"/>
      <c r="E64" s="21"/>
      <c r="F64" s="21"/>
      <c r="G64" s="21"/>
      <c r="H64" s="16"/>
      <c r="I64" s="10"/>
      <c r="J64" s="21"/>
      <c r="K64" s="56"/>
      <c r="L64" s="87"/>
      <c r="M64" s="87"/>
      <c r="N64" s="88"/>
      <c r="O64" s="88"/>
      <c r="P64" s="88"/>
      <c r="Q64" s="88"/>
      <c r="R64" s="88"/>
      <c r="S64" s="88"/>
    </row>
    <row r="65" customHeight="1" spans="3:19">
      <c r="C65" s="89"/>
      <c r="D65" s="89"/>
      <c r="E65" s="89"/>
      <c r="F65" s="89"/>
      <c r="G65" s="90"/>
      <c r="H65" s="91"/>
      <c r="I65" s="91"/>
      <c r="J65" s="91"/>
      <c r="K65" s="91"/>
      <c r="L65" s="92"/>
      <c r="M65" s="92"/>
      <c r="N65" s="93"/>
      <c r="O65" s="93">
        <f>G7*10%</f>
        <v>247.278595874775</v>
      </c>
      <c r="P65" s="94">
        <v>270</v>
      </c>
      <c r="Q65" s="88"/>
      <c r="R65" s="88"/>
      <c r="S65" s="88"/>
    </row>
    <row r="66" customHeight="1" spans="7:19">
      <c r="G66" s="90"/>
      <c r="H66" s="91"/>
      <c r="I66" s="91"/>
      <c r="J66" s="91"/>
      <c r="K66" s="91"/>
      <c r="L66" s="92"/>
      <c r="M66" s="92"/>
      <c r="N66" s="93"/>
      <c r="O66" s="93"/>
      <c r="P66" s="94" t="e">
        <f>G7-#REF!-P65</f>
        <v>#REF!</v>
      </c>
      <c r="Q66" s="88"/>
      <c r="R66" s="88"/>
      <c r="S66" s="88"/>
    </row>
    <row r="67" customHeight="1" spans="7:19">
      <c r="G67" s="90"/>
      <c r="H67" s="91"/>
      <c r="I67" s="91">
        <f>F57/8*5</f>
        <v>110.7</v>
      </c>
      <c r="J67" s="91"/>
      <c r="K67" s="91"/>
      <c r="L67" s="92"/>
      <c r="M67" s="92"/>
      <c r="N67" s="93"/>
      <c r="O67" s="93"/>
      <c r="P67" s="93"/>
      <c r="Q67" s="88"/>
      <c r="R67" s="88"/>
      <c r="S67" s="88"/>
    </row>
    <row r="68" customHeight="1" spans="7:19">
      <c r="G68" s="91"/>
      <c r="H68" s="91"/>
      <c r="I68" s="91"/>
      <c r="J68" s="91"/>
      <c r="K68" s="91"/>
      <c r="L68" s="92"/>
      <c r="M68" s="92"/>
      <c r="N68" s="93"/>
      <c r="O68" s="93"/>
      <c r="P68" s="93"/>
      <c r="Q68" s="88"/>
      <c r="R68" s="88"/>
      <c r="S68" s="88"/>
    </row>
    <row r="69" customHeight="1" spans="7:19">
      <c r="G69" s="91"/>
      <c r="H69" s="91"/>
      <c r="I69" s="91"/>
      <c r="J69" s="91"/>
      <c r="K69" s="91"/>
      <c r="L69" s="92"/>
      <c r="M69" s="92"/>
      <c r="N69" s="93"/>
      <c r="O69" s="93"/>
      <c r="P69" s="93"/>
      <c r="Q69" s="88"/>
      <c r="R69" s="88"/>
      <c r="S69" s="88"/>
    </row>
    <row r="70" customHeight="1" spans="7:19">
      <c r="G70" s="91"/>
      <c r="H70" s="91"/>
      <c r="I70" s="91"/>
      <c r="J70" s="91"/>
      <c r="K70" s="91"/>
      <c r="L70" s="92"/>
      <c r="M70" s="92"/>
      <c r="N70" s="93"/>
      <c r="O70" s="93"/>
      <c r="P70" s="93"/>
      <c r="Q70" s="88"/>
      <c r="R70" s="88"/>
      <c r="S70" s="88"/>
    </row>
    <row r="71" customHeight="1" spans="7:19">
      <c r="G71" s="91"/>
      <c r="H71" s="91"/>
      <c r="I71" s="91"/>
      <c r="J71" s="91"/>
      <c r="K71" s="91"/>
      <c r="L71" s="92"/>
      <c r="M71" s="92"/>
      <c r="N71" s="93"/>
      <c r="O71" s="93"/>
      <c r="P71" s="93"/>
      <c r="Q71" s="88"/>
      <c r="R71" s="88"/>
      <c r="S71" s="88"/>
    </row>
    <row r="72" customHeight="1" spans="7:19">
      <c r="G72" s="91"/>
      <c r="H72" s="91"/>
      <c r="I72" s="91"/>
      <c r="J72" s="91"/>
      <c r="K72" s="91"/>
      <c r="L72" s="92"/>
      <c r="M72" s="92"/>
      <c r="N72" s="93"/>
      <c r="O72" s="93"/>
      <c r="P72" s="93"/>
      <c r="Q72" s="88"/>
      <c r="R72" s="88"/>
      <c r="S72" s="88"/>
    </row>
    <row r="73" customHeight="1" spans="7:19">
      <c r="G73" s="91"/>
      <c r="H73" s="91"/>
      <c r="I73" s="91"/>
      <c r="J73" s="91"/>
      <c r="K73" s="91"/>
      <c r="L73" s="92"/>
      <c r="M73" s="92"/>
      <c r="N73" s="93"/>
      <c r="O73" s="93"/>
      <c r="P73" s="93"/>
      <c r="Q73" s="88"/>
      <c r="R73" s="88"/>
      <c r="S73" s="88"/>
    </row>
    <row r="74" customHeight="1" spans="7:19">
      <c r="G74" s="91"/>
      <c r="H74" s="91"/>
      <c r="I74" s="91"/>
      <c r="J74" s="91"/>
      <c r="K74" s="91"/>
      <c r="L74" s="92"/>
      <c r="M74" s="92"/>
      <c r="N74" s="93"/>
      <c r="O74" s="93"/>
      <c r="P74" s="93"/>
      <c r="Q74" s="88"/>
      <c r="R74" s="88"/>
      <c r="S74" s="88"/>
    </row>
    <row r="75" customHeight="1" spans="7:19">
      <c r="G75" s="91"/>
      <c r="H75" s="91"/>
      <c r="I75" s="91"/>
      <c r="J75" s="91"/>
      <c r="K75" s="91"/>
      <c r="L75" s="92"/>
      <c r="M75" s="92"/>
      <c r="N75" s="93"/>
      <c r="O75" s="93"/>
      <c r="P75" s="93"/>
      <c r="Q75" s="88"/>
      <c r="R75" s="88"/>
      <c r="S75" s="88"/>
    </row>
    <row r="76" customHeight="1" spans="7:19">
      <c r="G76" s="91"/>
      <c r="H76" s="91"/>
      <c r="I76" s="91"/>
      <c r="J76" s="91"/>
      <c r="K76" s="91"/>
      <c r="L76" s="92"/>
      <c r="M76" s="92"/>
      <c r="N76" s="93"/>
      <c r="O76" s="93"/>
      <c r="P76" s="93"/>
      <c r="Q76" s="88"/>
      <c r="R76" s="88"/>
      <c r="S76" s="88"/>
    </row>
    <row r="77" customHeight="1" spans="7:19">
      <c r="G77" s="91"/>
      <c r="H77" s="91"/>
      <c r="I77" s="91"/>
      <c r="J77" s="91"/>
      <c r="K77" s="91"/>
      <c r="L77" s="92"/>
      <c r="M77" s="92"/>
      <c r="N77" s="93"/>
      <c r="O77" s="93"/>
      <c r="P77" s="93"/>
      <c r="Q77" s="88"/>
      <c r="R77" s="88"/>
      <c r="S77" s="88"/>
    </row>
    <row r="78" customHeight="1" spans="7:19">
      <c r="G78" s="91"/>
      <c r="H78" s="91"/>
      <c r="I78" s="91"/>
      <c r="J78" s="91"/>
      <c r="K78" s="91"/>
      <c r="L78" s="92"/>
      <c r="M78" s="92"/>
      <c r="N78" s="93"/>
      <c r="O78" s="93"/>
      <c r="P78" s="93"/>
      <c r="Q78" s="88"/>
      <c r="R78" s="88"/>
      <c r="S78" s="88"/>
    </row>
    <row r="79" customHeight="1" spans="12:19">
      <c r="L79" s="95"/>
      <c r="M79" s="95"/>
      <c r="N79" s="88"/>
      <c r="O79" s="88"/>
      <c r="P79" s="88"/>
      <c r="Q79" s="88"/>
      <c r="R79" s="88"/>
      <c r="S79" s="88"/>
    </row>
  </sheetData>
  <mergeCells count="24">
    <mergeCell ref="A3:K3"/>
    <mergeCell ref="C4:G4"/>
    <mergeCell ref="H4:J4"/>
    <mergeCell ref="I36:J36"/>
    <mergeCell ref="I37:J37"/>
    <mergeCell ref="I42:J42"/>
    <mergeCell ref="I43:J43"/>
    <mergeCell ref="I44:J44"/>
    <mergeCell ref="I45:J45"/>
    <mergeCell ref="I46:J46"/>
    <mergeCell ref="I47:J47"/>
    <mergeCell ref="I53:J53"/>
    <mergeCell ref="A4:A6"/>
    <mergeCell ref="B4:B6"/>
    <mergeCell ref="C5:C6"/>
    <mergeCell ref="D5:D6"/>
    <mergeCell ref="E5:E6"/>
    <mergeCell ref="F5:F6"/>
    <mergeCell ref="G5:G6"/>
    <mergeCell ref="H5:H6"/>
    <mergeCell ref="I5:I6"/>
    <mergeCell ref="J5:J6"/>
    <mergeCell ref="K4:K6"/>
    <mergeCell ref="A1:K2"/>
  </mergeCells>
  <printOptions horizontalCentered="1"/>
  <pageMargins left="0.590277777777778" right="0.590277777777778" top="0.511805555555556" bottom="0.786805555555556" header="0.511805555555556" footer="0.511805555555556"/>
  <pageSetup paperSize="9" scale="73" firstPageNumber="65" orientation="landscape" blackAndWhite="1" useFirstPageNumber="1" horizontalDpi="600"/>
  <headerFooter alignWithMargins="0"/>
  <rowBreaks count="1" manualBreakCount="1">
    <brk id="33" max="10" man="1"/>
  </rowBreaks>
  <legacyDrawing r:id="rId2"/>
</worksheet>
</file>

<file path=docProps/app.xml><?xml version="1.0" encoding="utf-8"?>
<Properties xmlns="http://schemas.openxmlformats.org/officeDocument/2006/extended-properties" xmlns:vt="http://schemas.openxmlformats.org/officeDocument/2006/docPropsVTypes">
  <Company>wnw</Company>
  <Application>Microsoft Excel</Application>
  <HeadingPairs>
    <vt:vector size="2" baseType="variant">
      <vt:variant>
        <vt:lpstr>工作表</vt:lpstr>
      </vt:variant>
      <vt:variant>
        <vt:i4>3</vt:i4>
      </vt:variant>
    </vt:vector>
  </HeadingPairs>
  <TitlesOfParts>
    <vt:vector size="3" baseType="lpstr">
      <vt:lpstr>目录</vt:lpstr>
      <vt:lpstr>总表（污水厂）</vt:lpstr>
      <vt:lpstr>综合估算表（污水厂）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wgq</dc:creator>
  <cp:lastModifiedBy>搁浅忧伤</cp:lastModifiedBy>
  <dcterms:created xsi:type="dcterms:W3CDTF">2003-05-14T01:09:00Z</dcterms:created>
  <cp:lastPrinted>2020-11-30T03:08:00Z</cp:lastPrinted>
  <dcterms:modified xsi:type="dcterms:W3CDTF">2021-02-09T03:43:44Z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